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3015" windowWidth="15225" windowHeight="8055" tabRatio="945" firstSheet="2" activeTab="2"/>
  </bookViews>
  <sheets>
    <sheet name="Form" sheetId="1" state="hidden" r:id="rId1"/>
    <sheet name="Formb" sheetId="2" state="hidden" r:id="rId2"/>
    <sheet name="100" sheetId="3" r:id="rId3"/>
    <sheet name="100b" sheetId="4" r:id="rId4"/>
    <sheet name="220" sheetId="5" r:id="rId5"/>
    <sheet name="220b" sheetId="6" r:id="rId6"/>
    <sheet name="local" sheetId="7" state="hidden" r:id="rId7"/>
    <sheet name="localb" sheetId="8" state="hidden" r:id="rId8"/>
    <sheet name="240" sheetId="9" state="hidden" r:id="rId9"/>
    <sheet name="240b" sheetId="10" state="hidden" r:id="rId10"/>
    <sheet name="241" sheetId="11" r:id="rId11"/>
    <sheet name="241b" sheetId="12" r:id="rId12"/>
    <sheet name="243" sheetId="13" r:id="rId13"/>
    <sheet name="243b" sheetId="14" r:id="rId14"/>
    <sheet name="245" sheetId="15" r:id="rId15"/>
    <sheet name="245b" sheetId="16" r:id="rId16"/>
    <sheet name="246" sheetId="17" r:id="rId17"/>
    <sheet name="246b" sheetId="18" r:id="rId18"/>
    <sheet name="State" sheetId="19" state="hidden" r:id="rId19"/>
    <sheet name="Stateb" sheetId="20" state="hidden" r:id="rId20"/>
    <sheet name="251" sheetId="21" r:id="rId21"/>
    <sheet name="251b" sheetId="22" r:id="rId22"/>
    <sheet name="253" sheetId="23" state="hidden" r:id="rId23"/>
    <sheet name="253b" sheetId="24" state="hidden" r:id="rId24"/>
    <sheet name="255" sheetId="25" state="hidden" r:id="rId25"/>
    <sheet name="255b" sheetId="26" state="hidden" r:id="rId26"/>
    <sheet name="257" sheetId="27" r:id="rId27"/>
    <sheet name="257b" sheetId="28" r:id="rId28"/>
    <sheet name="258" sheetId="29" r:id="rId29"/>
    <sheet name="258b" sheetId="30" r:id="rId30"/>
    <sheet name="260" sheetId="31" state="hidden" r:id="rId31"/>
    <sheet name="260b" sheetId="32" state="hidden" r:id="rId32"/>
    <sheet name="261" sheetId="33" state="hidden" r:id="rId33"/>
    <sheet name="261b" sheetId="34" state="hidden" r:id="rId34"/>
    <sheet name="262" sheetId="35" state="hidden" r:id="rId35"/>
    <sheet name="262b" sheetId="36" state="hidden" r:id="rId36"/>
    <sheet name="263" sheetId="37" r:id="rId37"/>
    <sheet name="263b" sheetId="38" r:id="rId38"/>
    <sheet name="270" sheetId="39" r:id="rId39"/>
    <sheet name="270b" sheetId="40" r:id="rId40"/>
    <sheet name="271" sheetId="41" r:id="rId41"/>
    <sheet name="271b" sheetId="42" r:id="rId42"/>
    <sheet name="273" sheetId="43" r:id="rId43"/>
    <sheet name="273b" sheetId="44" r:id="rId44"/>
    <sheet name="Federal" sheetId="45" state="hidden" r:id="rId45"/>
    <sheet name="Federalb" sheetId="46" state="hidden" r:id="rId46"/>
    <sheet name="284" sheetId="47" r:id="rId47"/>
    <sheet name="284b" sheetId="48" r:id="rId48"/>
    <sheet name="290" sheetId="49" r:id="rId49"/>
    <sheet name="290b" sheetId="50" r:id="rId50"/>
    <sheet name="310" sheetId="51" r:id="rId51"/>
    <sheet name="310b" sheetId="52" r:id="rId52"/>
    <sheet name="410" sheetId="53" state="hidden" r:id="rId53"/>
    <sheet name="410b" sheetId="54" state="hidden" r:id="rId54"/>
    <sheet name="420" sheetId="55" r:id="rId55"/>
    <sheet name="420b" sheetId="56" r:id="rId56"/>
    <sheet name="Sheet3" sheetId="57" state="hidden" r:id="rId57"/>
    <sheet name="430" sheetId="58" state="hidden" r:id="rId58"/>
    <sheet name="430b" sheetId="59" state="hidden" r:id="rId59"/>
    <sheet name="710" sheetId="60" state="hidden" r:id="rId60"/>
    <sheet name="710b" sheetId="61" state="hidden" r:id="rId61"/>
  </sheets>
  <definedNames>
    <definedName name="_xlnm.Print_Area" localSheetId="2">'100'!$A$1:$M$49</definedName>
    <definedName name="_xlnm.Print_Area" localSheetId="3">'100b'!$A$1:$M$49</definedName>
    <definedName name="_xlnm.Print_Area" localSheetId="4">'220'!$A$1:$M$47</definedName>
    <definedName name="_xlnm.Print_Area" localSheetId="5">'220b'!$A$1:$M$48</definedName>
    <definedName name="_xlnm.Print_Area" localSheetId="20">'251'!$A$1:$M$47</definedName>
    <definedName name="_xlnm.Print_Area" localSheetId="34">'262'!$A$1:$M$47</definedName>
    <definedName name="_xlnm.Print_Area" localSheetId="38">'270'!$A$1:$M$47</definedName>
    <definedName name="_xlnm.Print_Area" localSheetId="50">'310'!$A$1:$M$47</definedName>
    <definedName name="_xlnm.Print_Area" localSheetId="52">'410'!$A$1:$M$47</definedName>
    <definedName name="_xlnm.Print_Area" localSheetId="54">'420'!$A$1:$M$47</definedName>
    <definedName name="_xlnm.Print_Area" localSheetId="57">'430'!$A$1:$M$47</definedName>
    <definedName name="_xlnm.Print_Area" localSheetId="0">'Form'!$A$1:$M$47</definedName>
    <definedName name="_xlnm.Print_Area" localSheetId="1">'Formb'!$A$1:$M$49</definedName>
    <definedName name="_xlnm.Print_Area" localSheetId="7">'localb'!$A$1:$M$48</definedName>
  </definedNames>
  <calcPr fullCalcOnLoad="1"/>
</workbook>
</file>

<file path=xl/sharedStrings.xml><?xml version="1.0" encoding="utf-8"?>
<sst xmlns="http://schemas.openxmlformats.org/spreadsheetml/2006/main" count="7673" uniqueCount="360">
  <si>
    <t>S.D.E.</t>
  </si>
  <si>
    <t>BUDGET</t>
  </si>
  <si>
    <t>EXPENDITURES</t>
  </si>
  <si>
    <t>FUND NO:</t>
  </si>
  <si>
    <t>NOTE:  Round each entry to the nearest dollar amount.</t>
  </si>
  <si>
    <t>Prior Year</t>
  </si>
  <si>
    <t xml:space="preserve">Proposed </t>
  </si>
  <si>
    <t>100</t>
  </si>
  <si>
    <t>200</t>
  </si>
  <si>
    <t>300</t>
  </si>
  <si>
    <t>400</t>
  </si>
  <si>
    <t>500</t>
  </si>
  <si>
    <t>600</t>
  </si>
  <si>
    <t>700</t>
  </si>
  <si>
    <t>800</t>
  </si>
  <si>
    <t>Purchased</t>
  </si>
  <si>
    <t>Supplies</t>
  </si>
  <si>
    <t>Capital</t>
  </si>
  <si>
    <t>Debt</t>
  </si>
  <si>
    <t>Insurance-</t>
  </si>
  <si>
    <t>Line</t>
  </si>
  <si>
    <t>Code</t>
  </si>
  <si>
    <t>Functions/Programs</t>
  </si>
  <si>
    <t>Budget</t>
  </si>
  <si>
    <t>Salaries</t>
  </si>
  <si>
    <t>Benefits</t>
  </si>
  <si>
    <t>Services</t>
  </si>
  <si>
    <t>Materials</t>
  </si>
  <si>
    <t>Objects</t>
  </si>
  <si>
    <t>Retirement</t>
  </si>
  <si>
    <t>Judgment</t>
  </si>
  <si>
    <t>Transfers</t>
  </si>
  <si>
    <t>1</t>
  </si>
  <si>
    <t>512</t>
  </si>
  <si>
    <t>Elementary School Program</t>
  </si>
  <si>
    <t>2</t>
  </si>
  <si>
    <t>515</t>
  </si>
  <si>
    <t>Secondary School Program</t>
  </si>
  <si>
    <t>3</t>
  </si>
  <si>
    <t>517</t>
  </si>
  <si>
    <t>Alternative School Program</t>
  </si>
  <si>
    <t>4</t>
  </si>
  <si>
    <t>521</t>
  </si>
  <si>
    <t>5</t>
  </si>
  <si>
    <t>522</t>
  </si>
  <si>
    <t>6</t>
  </si>
  <si>
    <t>524</t>
  </si>
  <si>
    <t>Gifted &amp; Talented Program</t>
  </si>
  <si>
    <t>7</t>
  </si>
  <si>
    <t>531</t>
  </si>
  <si>
    <t>Interscholastic Program</t>
  </si>
  <si>
    <t>8</t>
  </si>
  <si>
    <t>532</t>
  </si>
  <si>
    <t>School Activity Program</t>
  </si>
  <si>
    <t>9</t>
  </si>
  <si>
    <t>10</t>
  </si>
  <si>
    <t>541</t>
  </si>
  <si>
    <t>Summer School Program</t>
  </si>
  <si>
    <t>11</t>
  </si>
  <si>
    <t>542</t>
  </si>
  <si>
    <t>Adult School Program</t>
  </si>
  <si>
    <t>12</t>
  </si>
  <si>
    <t>546</t>
  </si>
  <si>
    <t>Detention Center Program</t>
  </si>
  <si>
    <t>13</t>
  </si>
  <si>
    <t>14</t>
  </si>
  <si>
    <t>TOTAL INSTRUCTION</t>
  </si>
  <si>
    <t>15</t>
  </si>
  <si>
    <t>16</t>
  </si>
  <si>
    <t>611</t>
  </si>
  <si>
    <t>Attendance-Guidance-Health Program</t>
  </si>
  <si>
    <t>17</t>
  </si>
  <si>
    <t>616</t>
  </si>
  <si>
    <t>18</t>
  </si>
  <si>
    <t>19</t>
  </si>
  <si>
    <t>621</t>
  </si>
  <si>
    <t>Instruction Improvement Program</t>
  </si>
  <si>
    <t>20</t>
  </si>
  <si>
    <t>622</t>
  </si>
  <si>
    <t>Educational Media Program</t>
  </si>
  <si>
    <t>21</t>
  </si>
  <si>
    <t>22</t>
  </si>
  <si>
    <t>631</t>
  </si>
  <si>
    <t>Board of Education Program</t>
  </si>
  <si>
    <t>23</t>
  </si>
  <si>
    <t>632</t>
  </si>
  <si>
    <t>District Administration Program</t>
  </si>
  <si>
    <t>24</t>
  </si>
  <si>
    <t>25</t>
  </si>
  <si>
    <t>641</t>
  </si>
  <si>
    <t>School Administration Program</t>
  </si>
  <si>
    <t>26</t>
  </si>
  <si>
    <t>27</t>
  </si>
  <si>
    <t>651</t>
  </si>
  <si>
    <t>Business Operation Program</t>
  </si>
  <si>
    <t>28</t>
  </si>
  <si>
    <t>655</t>
  </si>
  <si>
    <t>Central Service Program</t>
  </si>
  <si>
    <t>29</t>
  </si>
  <si>
    <t>30</t>
  </si>
  <si>
    <t>661</t>
  </si>
  <si>
    <t>Buildings-Care Program (Custodial)</t>
  </si>
  <si>
    <t>31</t>
  </si>
  <si>
    <t>664</t>
  </si>
  <si>
    <t>32</t>
  </si>
  <si>
    <t>665</t>
  </si>
  <si>
    <t>Maintenance - Grounds</t>
  </si>
  <si>
    <t>33</t>
  </si>
  <si>
    <t>667</t>
  </si>
  <si>
    <t>Security Program</t>
  </si>
  <si>
    <t>34</t>
  </si>
  <si>
    <t>35</t>
  </si>
  <si>
    <t>681</t>
  </si>
  <si>
    <t>Pupil - To School Trans. Program</t>
  </si>
  <si>
    <t>36</t>
  </si>
  <si>
    <t>682</t>
  </si>
  <si>
    <t>Pupil - Activity Trans. Program</t>
  </si>
  <si>
    <t>37</t>
  </si>
  <si>
    <t>683</t>
  </si>
  <si>
    <t>General Transportation Program</t>
  </si>
  <si>
    <t>38</t>
  </si>
  <si>
    <t>GENERAL M &amp; O FUND</t>
  </si>
  <si>
    <t>FUND NO:  100</t>
  </si>
  <si>
    <t>FOREST RESERVE FUND</t>
  </si>
  <si>
    <t>FUND NO: 220</t>
  </si>
  <si>
    <t>SPECIAL LOCAL</t>
  </si>
  <si>
    <t>FUND NAME</t>
  </si>
  <si>
    <t>230 THROUGH 239</t>
  </si>
  <si>
    <t>DRIVERS EDUCATION</t>
  </si>
  <si>
    <t>FUND NO:  241</t>
  </si>
  <si>
    <t>FUND NO:   243</t>
  </si>
  <si>
    <t>FUND NO:   245</t>
  </si>
  <si>
    <t>SUBSTANCE ABUSE - STATE</t>
  </si>
  <si>
    <t>FUND NO:   246</t>
  </si>
  <si>
    <t>SPECIAL STATE</t>
  </si>
  <si>
    <t>FUND NAME:</t>
  </si>
  <si>
    <t>240 THROUGH 249</t>
  </si>
  <si>
    <t>FUND NO:   251</t>
  </si>
  <si>
    <t>FUND NO:   257</t>
  </si>
  <si>
    <t>FUND NO:   258</t>
  </si>
  <si>
    <t>FUND NO:   263</t>
  </si>
  <si>
    <t>FUND NO:   271</t>
  </si>
  <si>
    <t>FUND NO:   273</t>
  </si>
  <si>
    <t>SPECIAL FEDERAL PROJECT</t>
  </si>
  <si>
    <t>TRUST FUNDS</t>
  </si>
  <si>
    <t>FUND NO:  710  &amp;  720</t>
  </si>
  <si>
    <t xml:space="preserve"> </t>
  </si>
  <si>
    <t>Proposed</t>
  </si>
  <si>
    <t>39</t>
  </si>
  <si>
    <t>691</t>
  </si>
  <si>
    <t>Other Support Services Program</t>
  </si>
  <si>
    <t>40</t>
  </si>
  <si>
    <t>41</t>
  </si>
  <si>
    <t xml:space="preserve">   TOTAL SUPPORT SERVICES</t>
  </si>
  <si>
    <t>42</t>
  </si>
  <si>
    <t>44</t>
  </si>
  <si>
    <t>710</t>
  </si>
  <si>
    <t>45</t>
  </si>
  <si>
    <t>720</t>
  </si>
  <si>
    <t>Community Services Program</t>
  </si>
  <si>
    <t>46</t>
  </si>
  <si>
    <t>47</t>
  </si>
  <si>
    <t xml:space="preserve">   TOTAL NON-INSTRUCTION</t>
  </si>
  <si>
    <t>48</t>
  </si>
  <si>
    <t>49</t>
  </si>
  <si>
    <t>810</t>
  </si>
  <si>
    <t>50</t>
  </si>
  <si>
    <t>51</t>
  </si>
  <si>
    <t>52</t>
  </si>
  <si>
    <t>911</t>
  </si>
  <si>
    <t>Debt Services Program - Principal</t>
  </si>
  <si>
    <t>53</t>
  </si>
  <si>
    <t>912</t>
  </si>
  <si>
    <t>54</t>
  </si>
  <si>
    <t>913</t>
  </si>
  <si>
    <t>Debt Services Program - Refunded Debt</t>
  </si>
  <si>
    <t>55</t>
  </si>
  <si>
    <t>920</t>
  </si>
  <si>
    <t xml:space="preserve">Transfers Out </t>
  </si>
  <si>
    <t>56</t>
  </si>
  <si>
    <t>57</t>
  </si>
  <si>
    <t>900</t>
  </si>
  <si>
    <t xml:space="preserve">   TOTAL OTHER SERVICES</t>
  </si>
  <si>
    <t>58</t>
  </si>
  <si>
    <t>59</t>
  </si>
  <si>
    <t>60</t>
  </si>
  <si>
    <t xml:space="preserve">   TOTAL EXPENDITURES</t>
  </si>
  <si>
    <t>61</t>
  </si>
  <si>
    <t>62</t>
  </si>
  <si>
    <t>63</t>
  </si>
  <si>
    <t>64</t>
  </si>
  <si>
    <t>65</t>
  </si>
  <si>
    <t>66</t>
  </si>
  <si>
    <t xml:space="preserve">   BUDGET SUMMARY</t>
  </si>
  <si>
    <t xml:space="preserve">  BUDGET SUMMARY:</t>
  </si>
  <si>
    <t>67</t>
  </si>
  <si>
    <t>68</t>
  </si>
  <si>
    <t>Beginning Fund Balance</t>
  </si>
  <si>
    <t>69</t>
  </si>
  <si>
    <t>Revenues + Transfers In</t>
  </si>
  <si>
    <t>70</t>
  </si>
  <si>
    <t>71</t>
  </si>
  <si>
    <t>72</t>
  </si>
  <si>
    <t>Total Appropriation</t>
  </si>
  <si>
    <t>73</t>
  </si>
  <si>
    <t>Unappropriated Balance</t>
  </si>
  <si>
    <t>74</t>
  </si>
  <si>
    <t>Page 4</t>
  </si>
  <si>
    <t>FUND NO:    100</t>
  </si>
  <si>
    <t>Page 7</t>
  </si>
  <si>
    <t>FUND NO:    220</t>
  </si>
  <si>
    <t xml:space="preserve">FUND NAME:                                  </t>
  </si>
  <si>
    <t>Page 10</t>
  </si>
  <si>
    <t>FUND NO:  243</t>
  </si>
  <si>
    <t>Page 16</t>
  </si>
  <si>
    <t>Page 13</t>
  </si>
  <si>
    <t>FUND NO:  245</t>
  </si>
  <si>
    <t>Page 19</t>
  </si>
  <si>
    <t>Page 22</t>
  </si>
  <si>
    <t>FUND NO:  246</t>
  </si>
  <si>
    <t>Page 25</t>
  </si>
  <si>
    <t>Page 28</t>
  </si>
  <si>
    <t>Page 31</t>
  </si>
  <si>
    <t>Page 34</t>
  </si>
  <si>
    <t>Page 37</t>
  </si>
  <si>
    <t>Page 40</t>
  </si>
  <si>
    <t>Page 3</t>
  </si>
  <si>
    <t>Page 6</t>
  </si>
  <si>
    <t>Page 12</t>
  </si>
  <si>
    <t>Page 15</t>
  </si>
  <si>
    <t>Page 21</t>
  </si>
  <si>
    <t>Page 24</t>
  </si>
  <si>
    <t>Page 27</t>
  </si>
  <si>
    <t>Page 36</t>
  </si>
  <si>
    <t>Page 43</t>
  </si>
  <si>
    <t>Page 46</t>
  </si>
  <si>
    <t>FUND NO:  263</t>
  </si>
  <si>
    <t>Page 48</t>
  </si>
  <si>
    <t>Page 49</t>
  </si>
  <si>
    <t>FUND NO:  271</t>
  </si>
  <si>
    <t>Page 51</t>
  </si>
  <si>
    <t>Page 52</t>
  </si>
  <si>
    <t>FUND NO:  273</t>
  </si>
  <si>
    <t>FUND NO:  290</t>
  </si>
  <si>
    <t>BOND REDEMPTION &amp; INTEREST FUND</t>
  </si>
  <si>
    <t>FUND NO:  310</t>
  </si>
  <si>
    <t>CAPITAL CONSTRUCTION PROJECT</t>
  </si>
  <si>
    <t>FUND NO:  410</t>
  </si>
  <si>
    <t>PLANT FACILITIES FUND</t>
  </si>
  <si>
    <t>FUND NO:  420</t>
  </si>
  <si>
    <t>FUND NO:  710 &amp; 720</t>
  </si>
  <si>
    <t>Contingency Reserve</t>
  </si>
  <si>
    <t xml:space="preserve">   TOTAL APPROPRIATION</t>
  </si>
  <si>
    <t>STATE PROFESSIONAL TECHNICAL</t>
  </si>
  <si>
    <t>Page 45</t>
  </si>
  <si>
    <t>FUND NO:   262</t>
  </si>
  <si>
    <t>FUND NO:   270</t>
  </si>
  <si>
    <t>TECHNOLOGY - STATE</t>
  </si>
  <si>
    <t>271 THROUGH 289</t>
  </si>
  <si>
    <t>Vocational-Technical Program</t>
  </si>
  <si>
    <t>Prior Year Refunds/Receipts</t>
  </si>
  <si>
    <t>Enterprise Operations</t>
  </si>
  <si>
    <t>Child Nutrition Program</t>
  </si>
  <si>
    <t>Page 30</t>
  </si>
  <si>
    <t>Instruction-Related Technology Program</t>
  </si>
  <si>
    <t xml:space="preserve">Administrative Technology Services Prog </t>
  </si>
  <si>
    <t>Maintenance - Student Occupied Bldgs</t>
  </si>
  <si>
    <t>TOTAL CAPITAL ASSET PROGRAMS</t>
  </si>
  <si>
    <t>75</t>
  </si>
  <si>
    <t>76</t>
  </si>
  <si>
    <t>77</t>
  </si>
  <si>
    <t xml:space="preserve">    (Lines 14+41+48+53+60)</t>
  </si>
  <si>
    <t xml:space="preserve">    (Line 63 + line 66)</t>
  </si>
  <si>
    <t>Capital Assets - NonStudent Occupied</t>
  </si>
  <si>
    <t>Capital Assets - Student Occupied</t>
  </si>
  <si>
    <t>SCHOOL BUILDING MAINTENANCE - STUDENT OCCUPIED</t>
  </si>
  <si>
    <t>FUND NO:  240</t>
  </si>
  <si>
    <t>FUND NO:  430</t>
  </si>
  <si>
    <t>Page 54</t>
  </si>
  <si>
    <t>Page 18</t>
  </si>
  <si>
    <t>Page 42</t>
  </si>
  <si>
    <t>Maintenance - Non Student Occupied</t>
  </si>
  <si>
    <t>PLANT FACILITIES - SCHOOL BLDG MAINT - STUDENT OCCUPIED</t>
  </si>
  <si>
    <t>78</t>
  </si>
  <si>
    <t>79</t>
  </si>
  <si>
    <t xml:space="preserve">   TOTAL REVENUE (lines 74 + 75)</t>
  </si>
  <si>
    <t xml:space="preserve">   TOTAL APPROPRIATION (lines 78 + 79)</t>
  </si>
  <si>
    <t xml:space="preserve">      The total on line 76 must equal the total on line 80.</t>
  </si>
  <si>
    <t>80</t>
  </si>
  <si>
    <r>
      <t xml:space="preserve">(5% of line 63 )     </t>
    </r>
    <r>
      <rPr>
        <b/>
        <sz val="8"/>
        <rFont val="Arial"/>
        <family val="2"/>
      </rPr>
      <t>(Applies to General Fund only</t>
    </r>
    <r>
      <rPr>
        <sz val="8"/>
        <rFont val="Arial"/>
        <family val="2"/>
      </rPr>
      <t>)</t>
    </r>
  </si>
  <si>
    <t>(Applies to General Fund only)</t>
  </si>
  <si>
    <t>Subtotal (carried over to page b)</t>
  </si>
  <si>
    <r>
      <t xml:space="preserve">(5% of line 63 )     </t>
    </r>
    <r>
      <rPr>
        <b/>
        <sz val="8"/>
        <rFont val="Arial"/>
        <family val="2"/>
      </rPr>
      <t>(Applies to General Fund only)</t>
    </r>
  </si>
  <si>
    <t>Special Education Program</t>
  </si>
  <si>
    <t>Special Education Preschool Program</t>
  </si>
  <si>
    <t>Special Education Support Services Prog</t>
  </si>
  <si>
    <t>Page  1</t>
  </si>
  <si>
    <t>Page 2</t>
  </si>
  <si>
    <t>Page 5</t>
  </si>
  <si>
    <t>Page 8</t>
  </si>
  <si>
    <t>Page 9</t>
  </si>
  <si>
    <t>Page 11</t>
  </si>
  <si>
    <t>Page 14</t>
  </si>
  <si>
    <t>Page 17</t>
  </si>
  <si>
    <t>Page 20</t>
  </si>
  <si>
    <t>Page 23</t>
  </si>
  <si>
    <t>Page 26</t>
  </si>
  <si>
    <t>Page 29</t>
  </si>
  <si>
    <t>Page 32</t>
  </si>
  <si>
    <t>Page 38</t>
  </si>
  <si>
    <t>Page 44</t>
  </si>
  <si>
    <t>Page 47</t>
  </si>
  <si>
    <t>Page 50</t>
  </si>
  <si>
    <t>Page 53</t>
  </si>
  <si>
    <t>PAGE 33</t>
  </si>
  <si>
    <t>PAGE 35</t>
  </si>
  <si>
    <t>Page 39</t>
  </si>
  <si>
    <t>Page 41</t>
  </si>
  <si>
    <t>Debt Services Program - Interest</t>
  </si>
  <si>
    <t>CHILD NUTRITION</t>
  </si>
  <si>
    <t>July 1, 2017 - June 30, 2018</t>
  </si>
  <si>
    <t>FUND NO:   261</t>
  </si>
  <si>
    <t>TITLE I-A, ESSA - IMPROVING BASIC PROGRAMS</t>
  </si>
  <si>
    <t>TITLE I-C, ESSA - EDUCATION OF MIGRATORY CHILDREN</t>
  </si>
  <si>
    <t>FUND NO:   253</t>
  </si>
  <si>
    <t>TITLE I-D, ESSA - NEGLECTED &amp; DELINQUENT CHILDREN</t>
  </si>
  <si>
    <r>
      <t xml:space="preserve">                                    </t>
    </r>
    <r>
      <rPr>
        <u val="single"/>
        <sz val="12"/>
        <color indexed="8"/>
        <rFont val="Arial"/>
        <family val="2"/>
      </rPr>
      <t>FUND NO:   255</t>
    </r>
  </si>
  <si>
    <t>SCHOOL-BASED MEDICAID</t>
  </si>
  <si>
    <t>FUND NO:   260</t>
  </si>
  <si>
    <t>The total on line 76 must equal the total on line 80.</t>
  </si>
  <si>
    <t>IDEA Part B (611 SCHOOL AGE 3-21)</t>
  </si>
  <si>
    <t>IDEA Part B (619 PRE-SCHOOL AGE 3-5)</t>
  </si>
  <si>
    <t>Title V-B, ESSA - RURAL EDUCATION INITIATIVE</t>
  </si>
  <si>
    <t>TITLE IV-B, ESSA   -  21st CENTURY COMMUNITY LEARNING CENTERS</t>
  </si>
  <si>
    <t>PERKINS IV - PROFESSIONAL TECHNICAL ACT</t>
  </si>
  <si>
    <t>TITLE II-A, ESSA  - SUPPORTING EFFECTIVE INSTRUCTION</t>
  </si>
  <si>
    <t>Title IV-A, ESSA - STUDENT SUPPORT &amp; ACADEMIC ENRICHMENT</t>
  </si>
  <si>
    <t>TITLE III-A, ESSA - ENGLISH LANGUAGE ACQUISITION</t>
  </si>
  <si>
    <t xml:space="preserve">p/r </t>
  </si>
  <si>
    <t xml:space="preserve"> tax</t>
  </si>
  <si>
    <t>w/c</t>
  </si>
  <si>
    <t>ele</t>
  </si>
  <si>
    <t>sec</t>
  </si>
  <si>
    <t>except</t>
  </si>
  <si>
    <t>sports</t>
  </si>
  <si>
    <t>library</t>
  </si>
  <si>
    <t>inst. Tech</t>
  </si>
  <si>
    <t>board</t>
  </si>
  <si>
    <t>dist adm</t>
  </si>
  <si>
    <t>custodial</t>
  </si>
  <si>
    <t>maint</t>
  </si>
  <si>
    <t>bus</t>
  </si>
  <si>
    <t>pupil</t>
  </si>
  <si>
    <t>Schol Admin</t>
  </si>
  <si>
    <t>OK</t>
  </si>
  <si>
    <t>Medicaid</t>
  </si>
  <si>
    <t>FUND NAME:  Medicaid</t>
  </si>
  <si>
    <t>FUND NO:    284</t>
  </si>
  <si>
    <t xml:space="preserve"> Total appropriation</t>
  </si>
  <si>
    <t xml:space="preserve"> Contingency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</si>
</sst>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_(&quot;$&quot;* #,##0_);_(&quot;$&quot;* \(#,##0\);_(&quot;$&quot;* &quot;-&quot;??_);_(@_)"/>
    <numFmt numFmtId="171" formatCode="_(* #,##0.0000_);_(* \(#,##0.0000\);_(* &quot;-&quot;??_);_(@_)"/>
    <numFmt numFmtId="172" formatCode="_(* #,##0.000000_);_(* \(#,##0.000000\);_(* &quot;-&quot;??_);_(@_)"/>
    <numFmt numFmtId="173" formatCode="#,##0.00000000000_);\(#,##0.00000000000\)"/>
    <numFmt numFmtId="174" formatCode="#,##0.0_);\(#,##0.0\)"/>
    <numFmt numFmtId="175" formatCode="&quot;$&quot;#,##0"/>
    <numFmt numFmtId="176" formatCode="000\-00\-0000"/>
    <numFmt numFmtId="177" formatCode="[$-10409]m/d/yyyy\ h:mm:ss\ AM/PM"/>
    <numFmt numFmtId="178" formatCode="[$-10409]#,##0.00;\(#,##0.00\)"/>
    <numFmt numFmtId="179" formatCode="[$-10409]0.00;\(0.00\)"/>
    <numFmt numFmtId="180" formatCode="[$-10409]&quot;$&quot;#,##0.00;\(&quot;$&quot;#,##0.00\)"/>
    <numFmt numFmtId="181" formatCode="0.000"/>
    <numFmt numFmtId="182" formatCode="[$-10409]#,##0;\(#,##0\)"/>
    <numFmt numFmtId="183" formatCode="[$-10409]#,##0;\(#,##0\);&quot;&quot;"/>
    <numFmt numFmtId="184" formatCode="_(* #,##0.000_);_(* \(#,##0.000\);_(* &quot;-&quot;???_);_(@_)"/>
    <numFmt numFmtId="185" formatCode="#,##0;[Red]#,##0"/>
  </numFmts>
  <fonts count="58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0" fillId="0" borderId="21" xfId="0" applyFont="1" applyBorder="1" applyAlignment="1">
      <alignment horizontal="centerContinuous"/>
    </xf>
    <xf numFmtId="0" fontId="0" fillId="0" borderId="2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3" fillId="0" borderId="22" xfId="0" applyFont="1" applyBorder="1" applyAlignment="1">
      <alignment horizontal="centerContinuous"/>
    </xf>
    <xf numFmtId="0" fontId="3" fillId="0" borderId="2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1" xfId="0" applyFont="1" applyBorder="1" applyAlignment="1">
      <alignment/>
    </xf>
    <xf numFmtId="8" fontId="4" fillId="0" borderId="16" xfId="0" applyNumberFormat="1" applyFont="1" applyBorder="1" applyAlignment="1" applyProtection="1">
      <alignment/>
      <protection locked="0"/>
    </xf>
    <xf numFmtId="8" fontId="4" fillId="0" borderId="16" xfId="0" applyNumberFormat="1" applyFont="1" applyBorder="1" applyAlignment="1">
      <alignment/>
    </xf>
    <xf numFmtId="8" fontId="4" fillId="0" borderId="10" xfId="0" applyNumberFormat="1" applyFont="1" applyBorder="1" applyAlignment="1" applyProtection="1">
      <alignment/>
      <protection locked="0"/>
    </xf>
    <xf numFmtId="8" fontId="4" fillId="0" borderId="17" xfId="0" applyNumberFormat="1" applyFont="1" applyBorder="1" applyAlignment="1" applyProtection="1">
      <alignment/>
      <protection locked="0"/>
    </xf>
    <xf numFmtId="8" fontId="4" fillId="0" borderId="18" xfId="0" applyNumberFormat="1" applyFont="1" applyBorder="1" applyAlignment="1" applyProtection="1">
      <alignment/>
      <protection locked="0"/>
    </xf>
    <xf numFmtId="40" fontId="4" fillId="0" borderId="16" xfId="0" applyNumberFormat="1" applyFont="1" applyBorder="1" applyAlignment="1" applyProtection="1">
      <alignment/>
      <protection locked="0"/>
    </xf>
    <xf numFmtId="40" fontId="4" fillId="0" borderId="16" xfId="0" applyNumberFormat="1" applyFont="1" applyBorder="1" applyAlignment="1">
      <alignment/>
    </xf>
    <xf numFmtId="40" fontId="4" fillId="0" borderId="10" xfId="0" applyNumberFormat="1" applyFont="1" applyBorder="1" applyAlignment="1" applyProtection="1">
      <alignment/>
      <protection locked="0"/>
    </xf>
    <xf numFmtId="40" fontId="4" fillId="0" borderId="17" xfId="0" applyNumberFormat="1" applyFont="1" applyBorder="1" applyAlignment="1" applyProtection="1">
      <alignment/>
      <protection locked="0"/>
    </xf>
    <xf numFmtId="40" fontId="4" fillId="0" borderId="18" xfId="0" applyNumberFormat="1" applyFont="1" applyBorder="1" applyAlignment="1" applyProtection="1">
      <alignment/>
      <protection locked="0"/>
    </xf>
    <xf numFmtId="40" fontId="4" fillId="34" borderId="16" xfId="0" applyNumberFormat="1" applyFont="1" applyFill="1" applyBorder="1" applyAlignment="1">
      <alignment/>
    </xf>
    <xf numFmtId="40" fontId="4" fillId="34" borderId="10" xfId="0" applyNumberFormat="1" applyFont="1" applyFill="1" applyBorder="1" applyAlignment="1">
      <alignment/>
    </xf>
    <xf numFmtId="40" fontId="4" fillId="34" borderId="17" xfId="0" applyNumberFormat="1" applyFont="1" applyFill="1" applyBorder="1" applyAlignment="1">
      <alignment/>
    </xf>
    <xf numFmtId="40" fontId="4" fillId="34" borderId="18" xfId="0" applyNumberFormat="1" applyFont="1" applyFill="1" applyBorder="1" applyAlignment="1">
      <alignment/>
    </xf>
    <xf numFmtId="8" fontId="1" fillId="0" borderId="16" xfId="0" applyNumberFormat="1" applyFont="1" applyBorder="1" applyAlignment="1" applyProtection="1">
      <alignment/>
      <protection locked="0"/>
    </xf>
    <xf numFmtId="8" fontId="1" fillId="0" borderId="10" xfId="0" applyNumberFormat="1" applyFont="1" applyBorder="1" applyAlignment="1" applyProtection="1">
      <alignment/>
      <protection locked="0"/>
    </xf>
    <xf numFmtId="8" fontId="1" fillId="0" borderId="17" xfId="0" applyNumberFormat="1" applyFont="1" applyBorder="1" applyAlignment="1" applyProtection="1">
      <alignment/>
      <protection locked="0"/>
    </xf>
    <xf numFmtId="8" fontId="1" fillId="0" borderId="18" xfId="0" applyNumberFormat="1" applyFont="1" applyBorder="1" applyAlignment="1" applyProtection="1">
      <alignment/>
      <protection locked="0"/>
    </xf>
    <xf numFmtId="40" fontId="1" fillId="0" borderId="16" xfId="0" applyNumberFormat="1" applyFont="1" applyBorder="1" applyAlignment="1" applyProtection="1">
      <alignment/>
      <protection locked="0"/>
    </xf>
    <xf numFmtId="40" fontId="1" fillId="0" borderId="10" xfId="0" applyNumberFormat="1" applyFont="1" applyBorder="1" applyAlignment="1" applyProtection="1">
      <alignment/>
      <protection locked="0"/>
    </xf>
    <xf numFmtId="40" fontId="1" fillId="0" borderId="17" xfId="0" applyNumberFormat="1" applyFont="1" applyBorder="1" applyAlignment="1" applyProtection="1">
      <alignment/>
      <protection locked="0"/>
    </xf>
    <xf numFmtId="40" fontId="1" fillId="0" borderId="18" xfId="0" applyNumberFormat="1" applyFont="1" applyBorder="1" applyAlignment="1" applyProtection="1">
      <alignment/>
      <protection locked="0"/>
    </xf>
    <xf numFmtId="40" fontId="1" fillId="34" borderId="16" xfId="0" applyNumberFormat="1" applyFont="1" applyFill="1" applyBorder="1" applyAlignment="1">
      <alignment/>
    </xf>
    <xf numFmtId="40" fontId="1" fillId="34" borderId="10" xfId="0" applyNumberFormat="1" applyFont="1" applyFill="1" applyBorder="1" applyAlignment="1">
      <alignment/>
    </xf>
    <xf numFmtId="40" fontId="1" fillId="34" borderId="17" xfId="0" applyNumberFormat="1" applyFont="1" applyFill="1" applyBorder="1" applyAlignment="1">
      <alignment/>
    </xf>
    <xf numFmtId="40" fontId="1" fillId="34" borderId="18" xfId="0" applyNumberFormat="1" applyFont="1" applyFill="1" applyBorder="1" applyAlignment="1">
      <alignment/>
    </xf>
    <xf numFmtId="40" fontId="1" fillId="0" borderId="16" xfId="0" applyNumberFormat="1" applyFont="1" applyBorder="1" applyAlignment="1">
      <alignment/>
    </xf>
    <xf numFmtId="40" fontId="0" fillId="34" borderId="16" xfId="0" applyNumberFormat="1" applyFill="1" applyBorder="1" applyAlignment="1">
      <alignment/>
    </xf>
    <xf numFmtId="40" fontId="0" fillId="0" borderId="14" xfId="0" applyNumberFormat="1" applyBorder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9" fillId="0" borderId="0" xfId="0" applyFont="1" applyAlignment="1">
      <alignment horizontal="centerContinuous"/>
    </xf>
    <xf numFmtId="0" fontId="0" fillId="35" borderId="14" xfId="0" applyFill="1" applyBorder="1" applyAlignment="1">
      <alignment/>
    </xf>
    <xf numFmtId="0" fontId="4" fillId="0" borderId="23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0" fontId="0" fillId="0" borderId="25" xfId="0" applyNumberFormat="1" applyBorder="1" applyAlignment="1">
      <alignment/>
    </xf>
    <xf numFmtId="40" fontId="0" fillId="0" borderId="26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3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8" fontId="4" fillId="0" borderId="36" xfId="0" applyNumberFormat="1" applyFont="1" applyBorder="1" applyAlignment="1" applyProtection="1">
      <alignment/>
      <protection locked="0"/>
    </xf>
    <xf numFmtId="40" fontId="4" fillId="0" borderId="36" xfId="0" applyNumberFormat="1" applyFont="1" applyBorder="1" applyAlignment="1" applyProtection="1">
      <alignment/>
      <protection locked="0"/>
    </xf>
    <xf numFmtId="0" fontId="4" fillId="0" borderId="37" xfId="0" applyFont="1" applyBorder="1" applyAlignment="1">
      <alignment horizontal="center"/>
    </xf>
    <xf numFmtId="0" fontId="4" fillId="34" borderId="36" xfId="0" applyFont="1" applyFill="1" applyBorder="1" applyAlignment="1">
      <alignment/>
    </xf>
    <xf numFmtId="40" fontId="4" fillId="34" borderId="36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9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20" fillId="0" borderId="32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0" fontId="1" fillId="36" borderId="24" xfId="0" applyFont="1" applyFill="1" applyBorder="1" applyAlignment="1">
      <alignment horizontal="center"/>
    </xf>
    <xf numFmtId="0" fontId="9" fillId="36" borderId="25" xfId="0" applyFont="1" applyFill="1" applyBorder="1" applyAlignment="1">
      <alignment horizontal="center"/>
    </xf>
    <xf numFmtId="40" fontId="0" fillId="36" borderId="25" xfId="0" applyNumberFormat="1" applyFill="1" applyBorder="1" applyAlignment="1">
      <alignment/>
    </xf>
    <xf numFmtId="40" fontId="0" fillId="36" borderId="26" xfId="0" applyNumberFormat="1" applyFill="1" applyBorder="1" applyAlignment="1">
      <alignment/>
    </xf>
    <xf numFmtId="0" fontId="1" fillId="36" borderId="27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40" fontId="1" fillId="36" borderId="16" xfId="0" applyNumberFormat="1" applyFont="1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4" xfId="0" applyFont="1" applyFill="1" applyBorder="1" applyAlignment="1">
      <alignment/>
    </xf>
    <xf numFmtId="7" fontId="1" fillId="37" borderId="41" xfId="0" applyNumberFormat="1" applyFont="1" applyFill="1" applyBorder="1" applyAlignment="1">
      <alignment/>
    </xf>
    <xf numFmtId="40" fontId="1" fillId="34" borderId="14" xfId="0" applyNumberFormat="1" applyFont="1" applyFill="1" applyBorder="1" applyAlignment="1">
      <alignment/>
    </xf>
    <xf numFmtId="164" fontId="1" fillId="37" borderId="41" xfId="0" applyNumberFormat="1" applyFont="1" applyFill="1" applyBorder="1" applyAlignment="1">
      <alignment/>
    </xf>
    <xf numFmtId="164" fontId="1" fillId="37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0" fontId="1" fillId="37" borderId="16" xfId="0" applyNumberFormat="1" applyFont="1" applyFill="1" applyBorder="1" applyAlignment="1">
      <alignment/>
    </xf>
    <xf numFmtId="40" fontId="1" fillId="37" borderId="42" xfId="0" applyNumberFormat="1" applyFont="1" applyFill="1" applyBorder="1" applyAlignment="1">
      <alignment/>
    </xf>
    <xf numFmtId="40" fontId="0" fillId="0" borderId="32" xfId="0" applyNumberFormat="1" applyBorder="1" applyAlignment="1">
      <alignment/>
    </xf>
    <xf numFmtId="40" fontId="1" fillId="0" borderId="43" xfId="0" applyNumberFormat="1" applyFont="1" applyBorder="1" applyAlignment="1">
      <alignment/>
    </xf>
    <xf numFmtId="40" fontId="1" fillId="37" borderId="41" xfId="0" applyNumberFormat="1" applyFont="1" applyFill="1" applyBorder="1" applyAlignment="1">
      <alignment/>
    </xf>
    <xf numFmtId="40" fontId="1" fillId="37" borderId="16" xfId="0" applyNumberFormat="1" applyFont="1" applyFill="1" applyBorder="1" applyAlignment="1" applyProtection="1">
      <alignment/>
      <protection locked="0"/>
    </xf>
    <xf numFmtId="40" fontId="1" fillId="37" borderId="42" xfId="0" applyNumberFormat="1" applyFont="1" applyFill="1" applyBorder="1" applyAlignment="1" applyProtection="1">
      <alignment/>
      <protection locked="0"/>
    </xf>
    <xf numFmtId="8" fontId="1" fillId="37" borderId="44" xfId="0" applyNumberFormat="1" applyFont="1" applyFill="1" applyBorder="1" applyAlignment="1">
      <alignment/>
    </xf>
    <xf numFmtId="8" fontId="1" fillId="37" borderId="45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4" xfId="0" applyFont="1" applyFill="1" applyBorder="1" applyAlignment="1">
      <alignment/>
    </xf>
    <xf numFmtId="8" fontId="4" fillId="37" borderId="41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8" fontId="1" fillId="37" borderId="41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40" fontId="0" fillId="36" borderId="14" xfId="0" applyNumberFormat="1" applyFill="1" applyBorder="1" applyAlignment="1">
      <alignment/>
    </xf>
    <xf numFmtId="40" fontId="0" fillId="36" borderId="32" xfId="0" applyNumberFormat="1" applyFill="1" applyBorder="1" applyAlignment="1">
      <alignment/>
    </xf>
    <xf numFmtId="40" fontId="1" fillId="36" borderId="43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40" fontId="1" fillId="34" borderId="0" xfId="0" applyNumberFormat="1" applyFont="1" applyFill="1" applyBorder="1" applyAlignment="1">
      <alignment/>
    </xf>
    <xf numFmtId="40" fontId="1" fillId="34" borderId="15" xfId="0" applyNumberFormat="1" applyFont="1" applyFill="1" applyBorder="1" applyAlignment="1">
      <alignment/>
    </xf>
    <xf numFmtId="40" fontId="1" fillId="34" borderId="13" xfId="0" applyNumberFormat="1" applyFont="1" applyFill="1" applyBorder="1" applyAlignment="1">
      <alignment/>
    </xf>
    <xf numFmtId="40" fontId="0" fillId="34" borderId="0" xfId="0" applyNumberFormat="1" applyFill="1" applyBorder="1" applyAlignment="1">
      <alignment/>
    </xf>
    <xf numFmtId="40" fontId="0" fillId="34" borderId="15" xfId="0" applyNumberFormat="1" applyFill="1" applyBorder="1" applyAlignment="1">
      <alignment/>
    </xf>
    <xf numFmtId="40" fontId="0" fillId="34" borderId="13" xfId="0" applyNumberFormat="1" applyFill="1" applyBorder="1" applyAlignment="1">
      <alignment/>
    </xf>
    <xf numFmtId="40" fontId="0" fillId="34" borderId="14" xfId="0" applyNumberForma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1" fillId="37" borderId="41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0" fontId="0" fillId="0" borderId="14" xfId="0" applyNumberForma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0" fontId="0" fillId="0" borderId="25" xfId="0" applyNumberFormat="1" applyFill="1" applyBorder="1" applyAlignment="1">
      <alignment/>
    </xf>
    <xf numFmtId="40" fontId="0" fillId="0" borderId="26" xfId="0" applyNumberForma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0" fontId="0" fillId="0" borderId="32" xfId="0" applyNumberForma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40" fontId="1" fillId="0" borderId="16" xfId="0" applyNumberFormat="1" applyFont="1" applyFill="1" applyBorder="1" applyAlignment="1">
      <alignment/>
    </xf>
    <xf numFmtId="40" fontId="1" fillId="0" borderId="43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7" fillId="38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62">
      <alignment/>
      <protection/>
    </xf>
    <xf numFmtId="0" fontId="18" fillId="0" borderId="0" xfId="62" applyFont="1" applyAlignment="1">
      <alignment horizontal="center"/>
      <protection/>
    </xf>
    <xf numFmtId="0" fontId="2" fillId="0" borderId="0" xfId="62" applyFont="1" applyAlignment="1">
      <alignment horizontal="centerContinuous"/>
      <protection/>
    </xf>
    <xf numFmtId="0" fontId="0" fillId="0" borderId="0" xfId="62" applyAlignment="1">
      <alignment horizontal="centerContinuous"/>
      <protection/>
    </xf>
    <xf numFmtId="0" fontId="0" fillId="0" borderId="0" xfId="62" applyAlignment="1">
      <alignment horizontal="right"/>
      <protection/>
    </xf>
    <xf numFmtId="0" fontId="3" fillId="0" borderId="0" xfId="62" applyFont="1" applyAlignment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4" fillId="0" borderId="0" xfId="62" applyFont="1">
      <alignment/>
      <protection/>
    </xf>
    <xf numFmtId="0" fontId="4" fillId="0" borderId="11" xfId="62" applyFont="1" applyBorder="1">
      <alignment/>
      <protection/>
    </xf>
    <xf numFmtId="0" fontId="4" fillId="0" borderId="12" xfId="62" applyFont="1" applyBorder="1">
      <alignment/>
      <protection/>
    </xf>
    <xf numFmtId="0" fontId="4" fillId="0" borderId="12" xfId="62" applyFont="1" applyBorder="1" applyAlignment="1">
      <alignment horizontal="center"/>
      <protection/>
    </xf>
    <xf numFmtId="0" fontId="4" fillId="0" borderId="19" xfId="62" applyFont="1" applyBorder="1" applyAlignment="1">
      <alignment horizontal="center"/>
      <protection/>
    </xf>
    <xf numFmtId="0" fontId="4" fillId="0" borderId="20" xfId="62" applyFont="1" applyBorder="1" applyAlignment="1">
      <alignment horizontal="center"/>
      <protection/>
    </xf>
    <xf numFmtId="0" fontId="4" fillId="0" borderId="11" xfId="62" applyFont="1" applyBorder="1" applyAlignment="1">
      <alignment horizontal="center"/>
      <protection/>
    </xf>
    <xf numFmtId="0" fontId="4" fillId="0" borderId="13" xfId="62" applyFont="1" applyBorder="1">
      <alignment/>
      <protection/>
    </xf>
    <xf numFmtId="0" fontId="4" fillId="0" borderId="14" xfId="62" applyFont="1" applyBorder="1">
      <alignment/>
      <protection/>
    </xf>
    <xf numFmtId="0" fontId="4" fillId="0" borderId="15" xfId="62" applyFont="1" applyBorder="1">
      <alignment/>
      <protection/>
    </xf>
    <xf numFmtId="0" fontId="4" fillId="0" borderId="15" xfId="62" applyFont="1" applyBorder="1" applyAlignment="1">
      <alignment horizontal="center"/>
      <protection/>
    </xf>
    <xf numFmtId="0" fontId="4" fillId="0" borderId="13" xfId="62" applyFont="1" applyBorder="1" applyAlignment="1">
      <alignment horizontal="center"/>
      <protection/>
    </xf>
    <xf numFmtId="0" fontId="4" fillId="0" borderId="14" xfId="62" applyFont="1" applyBorder="1" applyAlignment="1">
      <alignment horizontal="center"/>
      <protection/>
    </xf>
    <xf numFmtId="0" fontId="4" fillId="0" borderId="18" xfId="62" applyFont="1" applyBorder="1" applyAlignment="1">
      <alignment horizontal="center"/>
      <protection/>
    </xf>
    <xf numFmtId="0" fontId="4" fillId="0" borderId="16" xfId="62" applyFont="1" applyBorder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0" fontId="4" fillId="0" borderId="17" xfId="62" applyFont="1" applyBorder="1" applyAlignment="1">
      <alignment horizontal="center"/>
      <protection/>
    </xf>
    <xf numFmtId="0" fontId="4" fillId="0" borderId="16" xfId="62" applyFont="1" applyBorder="1">
      <alignment/>
      <protection/>
    </xf>
    <xf numFmtId="8" fontId="4" fillId="0" borderId="16" xfId="62" applyNumberFormat="1" applyFont="1" applyBorder="1" applyProtection="1">
      <alignment/>
      <protection locked="0"/>
    </xf>
    <xf numFmtId="8" fontId="4" fillId="0" borderId="16" xfId="62" applyNumberFormat="1" applyFont="1" applyBorder="1">
      <alignment/>
      <protection/>
    </xf>
    <xf numFmtId="8" fontId="4" fillId="0" borderId="10" xfId="62" applyNumberFormat="1" applyFont="1" applyBorder="1" applyProtection="1">
      <alignment/>
      <protection locked="0"/>
    </xf>
    <xf numFmtId="8" fontId="4" fillId="0" borderId="17" xfId="62" applyNumberFormat="1" applyFont="1" applyBorder="1" applyProtection="1">
      <alignment/>
      <protection locked="0"/>
    </xf>
    <xf numFmtId="8" fontId="4" fillId="0" borderId="18" xfId="62" applyNumberFormat="1" applyFont="1" applyBorder="1" applyProtection="1">
      <alignment/>
      <protection locked="0"/>
    </xf>
    <xf numFmtId="40" fontId="4" fillId="0" borderId="16" xfId="62" applyNumberFormat="1" applyFont="1" applyBorder="1" applyProtection="1">
      <alignment/>
      <protection locked="0"/>
    </xf>
    <xf numFmtId="40" fontId="4" fillId="0" borderId="16" xfId="62" applyNumberFormat="1" applyFont="1" applyBorder="1">
      <alignment/>
      <protection/>
    </xf>
    <xf numFmtId="40" fontId="4" fillId="0" borderId="10" xfId="62" applyNumberFormat="1" applyFont="1" applyBorder="1" applyProtection="1">
      <alignment/>
      <protection locked="0"/>
    </xf>
    <xf numFmtId="40" fontId="4" fillId="0" borderId="17" xfId="62" applyNumberFormat="1" applyFont="1" applyBorder="1" applyProtection="1">
      <alignment/>
      <protection locked="0"/>
    </xf>
    <xf numFmtId="40" fontId="4" fillId="0" borderId="18" xfId="62" applyNumberFormat="1" applyFont="1" applyBorder="1" applyProtection="1">
      <alignment/>
      <protection locked="0"/>
    </xf>
    <xf numFmtId="0" fontId="4" fillId="0" borderId="23" xfId="62" applyFont="1" applyBorder="1" applyAlignment="1">
      <alignment horizontal="center"/>
      <protection/>
    </xf>
    <xf numFmtId="0" fontId="4" fillId="34" borderId="14" xfId="62" applyFont="1" applyFill="1" applyBorder="1">
      <alignment/>
      <protection/>
    </xf>
    <xf numFmtId="0" fontId="4" fillId="34" borderId="0" xfId="62" applyFont="1" applyFill="1" applyBorder="1">
      <alignment/>
      <protection/>
    </xf>
    <xf numFmtId="0" fontId="4" fillId="34" borderId="15" xfId="62" applyFont="1" applyFill="1" applyBorder="1">
      <alignment/>
      <protection/>
    </xf>
    <xf numFmtId="0" fontId="4" fillId="34" borderId="13" xfId="62" applyFont="1" applyFill="1" applyBorder="1">
      <alignment/>
      <protection/>
    </xf>
    <xf numFmtId="0" fontId="4" fillId="0" borderId="10" xfId="62" applyFont="1" applyBorder="1">
      <alignment/>
      <protection/>
    </xf>
    <xf numFmtId="8" fontId="4" fillId="37" borderId="41" xfId="62" applyNumberFormat="1" applyFont="1" applyFill="1" applyBorder="1">
      <alignment/>
      <protection/>
    </xf>
    <xf numFmtId="0" fontId="4" fillId="34" borderId="16" xfId="62" applyFont="1" applyFill="1" applyBorder="1">
      <alignment/>
      <protection/>
    </xf>
    <xf numFmtId="0" fontId="4" fillId="34" borderId="10" xfId="62" applyFont="1" applyFill="1" applyBorder="1">
      <alignment/>
      <protection/>
    </xf>
    <xf numFmtId="0" fontId="4" fillId="34" borderId="17" xfId="62" applyFont="1" applyFill="1" applyBorder="1">
      <alignment/>
      <protection/>
    </xf>
    <xf numFmtId="0" fontId="4" fillId="34" borderId="18" xfId="62" applyFont="1" applyFill="1" applyBorder="1">
      <alignment/>
      <protection/>
    </xf>
    <xf numFmtId="40" fontId="4" fillId="34" borderId="16" xfId="62" applyNumberFormat="1" applyFont="1" applyFill="1" applyBorder="1">
      <alignment/>
      <protection/>
    </xf>
    <xf numFmtId="40" fontId="4" fillId="34" borderId="10" xfId="62" applyNumberFormat="1" applyFont="1" applyFill="1" applyBorder="1">
      <alignment/>
      <protection/>
    </xf>
    <xf numFmtId="40" fontId="4" fillId="34" borderId="17" xfId="62" applyNumberFormat="1" applyFont="1" applyFill="1" applyBorder="1">
      <alignment/>
      <protection/>
    </xf>
    <xf numFmtId="40" fontId="4" fillId="34" borderId="18" xfId="62" applyNumberFormat="1" applyFont="1" applyFill="1" applyBorder="1">
      <alignment/>
      <protection/>
    </xf>
    <xf numFmtId="0" fontId="0" fillId="0" borderId="23" xfId="62" applyBorder="1">
      <alignment/>
      <protection/>
    </xf>
    <xf numFmtId="0" fontId="4" fillId="0" borderId="23" xfId="62" applyFont="1" applyBorder="1">
      <alignment/>
      <protection/>
    </xf>
    <xf numFmtId="0" fontId="5" fillId="0" borderId="0" xfId="62" applyFont="1">
      <alignment/>
      <protection/>
    </xf>
    <xf numFmtId="0" fontId="1" fillId="37" borderId="41" xfId="62" applyFont="1" applyFill="1" applyBorder="1">
      <alignment/>
      <protection/>
    </xf>
    <xf numFmtId="40" fontId="1" fillId="37" borderId="41" xfId="62" applyNumberFormat="1" applyFont="1" applyFill="1" applyBorder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2" fillId="0" borderId="0" xfId="62" applyFont="1" applyAlignment="1">
      <alignment horizontal="centerContinuous" vertical="center"/>
      <protection/>
    </xf>
    <xf numFmtId="0" fontId="0" fillId="0" borderId="0" xfId="62" applyFont="1" applyAlignment="1">
      <alignment horizontal="centerContinuous" vertical="center"/>
      <protection/>
    </xf>
    <xf numFmtId="0" fontId="3" fillId="0" borderId="0" xfId="62" applyFont="1">
      <alignment/>
      <protection/>
    </xf>
    <xf numFmtId="0" fontId="0" fillId="0" borderId="0" xfId="62" applyBorder="1" applyAlignment="1">
      <alignment horizontal="right"/>
      <protection/>
    </xf>
    <xf numFmtId="0" fontId="0" fillId="0" borderId="0" xfId="62" applyAlignment="1">
      <alignment horizontal="center"/>
      <protection/>
    </xf>
    <xf numFmtId="0" fontId="10" fillId="0" borderId="0" xfId="62" applyFont="1" applyAlignment="1">
      <alignment horizontal="centerContinuous"/>
      <protection/>
    </xf>
    <xf numFmtId="0" fontId="0" fillId="0" borderId="0" xfId="62" applyFont="1" applyBorder="1" applyAlignment="1">
      <alignment horizontal="left"/>
      <protection/>
    </xf>
    <xf numFmtId="0" fontId="0" fillId="0" borderId="0" xfId="62" applyFont="1" applyBorder="1" applyAlignment="1">
      <alignment horizontal="centerContinuous"/>
      <protection/>
    </xf>
    <xf numFmtId="0" fontId="9" fillId="0" borderId="0" xfId="62" applyFont="1" applyAlignment="1">
      <alignment horizontal="right"/>
      <protection/>
    </xf>
    <xf numFmtId="0" fontId="0" fillId="0" borderId="0" xfId="62" applyBorder="1">
      <alignment/>
      <protection/>
    </xf>
    <xf numFmtId="0" fontId="1" fillId="0" borderId="11" xfId="62" applyFont="1" applyBorder="1">
      <alignment/>
      <protection/>
    </xf>
    <xf numFmtId="0" fontId="1" fillId="0" borderId="12" xfId="62" applyFont="1" applyBorder="1" applyAlignment="1">
      <alignment horizontal="center"/>
      <protection/>
    </xf>
    <xf numFmtId="0" fontId="1" fillId="0" borderId="20" xfId="62" applyFont="1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1" fillId="0" borderId="13" xfId="62" applyFont="1" applyBorder="1">
      <alignment/>
      <protection/>
    </xf>
    <xf numFmtId="0" fontId="1" fillId="0" borderId="14" xfId="62" applyFont="1" applyBorder="1" applyAlignment="1">
      <alignment horizontal="center"/>
      <protection/>
    </xf>
    <xf numFmtId="0" fontId="1" fillId="0" borderId="14" xfId="62" applyFont="1" applyBorder="1">
      <alignment/>
      <protection/>
    </xf>
    <xf numFmtId="0" fontId="0" fillId="0" borderId="14" xfId="62" applyBorder="1">
      <alignment/>
      <protection/>
    </xf>
    <xf numFmtId="0" fontId="1" fillId="0" borderId="15" xfId="62" applyFont="1" applyBorder="1">
      <alignment/>
      <protection/>
    </xf>
    <xf numFmtId="0" fontId="1" fillId="0" borderId="15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/>
      <protection/>
    </xf>
    <xf numFmtId="0" fontId="1" fillId="0" borderId="18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1" fillId="0" borderId="17" xfId="62" applyFont="1" applyBorder="1" applyAlignment="1">
      <alignment horizontal="center"/>
      <protection/>
    </xf>
    <xf numFmtId="0" fontId="1" fillId="0" borderId="16" xfId="62" applyFont="1" applyBorder="1">
      <alignment/>
      <protection/>
    </xf>
    <xf numFmtId="8" fontId="1" fillId="0" borderId="16" xfId="62" applyNumberFormat="1" applyFont="1" applyBorder="1" applyProtection="1">
      <alignment/>
      <protection locked="0"/>
    </xf>
    <xf numFmtId="8" fontId="1" fillId="0" borderId="10" xfId="62" applyNumberFormat="1" applyFont="1" applyBorder="1" applyProtection="1">
      <alignment/>
      <protection locked="0"/>
    </xf>
    <xf numFmtId="8" fontId="1" fillId="0" borderId="17" xfId="62" applyNumberFormat="1" applyFont="1" applyBorder="1" applyProtection="1">
      <alignment/>
      <protection locked="0"/>
    </xf>
    <xf numFmtId="8" fontId="1" fillId="0" borderId="18" xfId="62" applyNumberFormat="1" applyFont="1" applyBorder="1" applyProtection="1">
      <alignment/>
      <protection locked="0"/>
    </xf>
    <xf numFmtId="0" fontId="1" fillId="34" borderId="14" xfId="62" applyFont="1" applyFill="1" applyBorder="1">
      <alignment/>
      <protection/>
    </xf>
    <xf numFmtId="0" fontId="1" fillId="34" borderId="0" xfId="62" applyFont="1" applyFill="1" applyBorder="1">
      <alignment/>
      <protection/>
    </xf>
    <xf numFmtId="0" fontId="1" fillId="34" borderId="15" xfId="62" applyFont="1" applyFill="1" applyBorder="1">
      <alignment/>
      <protection/>
    </xf>
    <xf numFmtId="0" fontId="1" fillId="34" borderId="13" xfId="62" applyFont="1" applyFill="1" applyBorder="1">
      <alignment/>
      <protection/>
    </xf>
    <xf numFmtId="0" fontId="1" fillId="0" borderId="10" xfId="62" applyFont="1" applyBorder="1">
      <alignment/>
      <protection/>
    </xf>
    <xf numFmtId="7" fontId="1" fillId="37" borderId="41" xfId="62" applyNumberFormat="1" applyFont="1" applyFill="1" applyBorder="1">
      <alignment/>
      <protection/>
    </xf>
    <xf numFmtId="0" fontId="0" fillId="0" borderId="16" xfId="62" applyBorder="1" applyAlignment="1">
      <alignment horizontal="center"/>
      <protection/>
    </xf>
    <xf numFmtId="0" fontId="0" fillId="0" borderId="16" xfId="62" applyBorder="1">
      <alignment/>
      <protection/>
    </xf>
    <xf numFmtId="0" fontId="1" fillId="34" borderId="16" xfId="62" applyFont="1" applyFill="1" applyBorder="1">
      <alignment/>
      <protection/>
    </xf>
    <xf numFmtId="0" fontId="1" fillId="34" borderId="10" xfId="62" applyFont="1" applyFill="1" applyBorder="1">
      <alignment/>
      <protection/>
    </xf>
    <xf numFmtId="0" fontId="1" fillId="34" borderId="17" xfId="62" applyFont="1" applyFill="1" applyBorder="1">
      <alignment/>
      <protection/>
    </xf>
    <xf numFmtId="0" fontId="1" fillId="34" borderId="18" xfId="62" applyFont="1" applyFill="1" applyBorder="1">
      <alignment/>
      <protection/>
    </xf>
    <xf numFmtId="40" fontId="1" fillId="0" borderId="16" xfId="62" applyNumberFormat="1" applyFont="1" applyBorder="1" applyProtection="1">
      <alignment/>
      <protection locked="0"/>
    </xf>
    <xf numFmtId="40" fontId="1" fillId="0" borderId="10" xfId="62" applyNumberFormat="1" applyFont="1" applyBorder="1" applyProtection="1">
      <alignment/>
      <protection locked="0"/>
    </xf>
    <xf numFmtId="40" fontId="1" fillId="0" borderId="17" xfId="62" applyNumberFormat="1" applyFont="1" applyBorder="1" applyProtection="1">
      <alignment/>
      <protection locked="0"/>
    </xf>
    <xf numFmtId="40" fontId="1" fillId="0" borderId="18" xfId="62" applyNumberFormat="1" applyFont="1" applyBorder="1" applyProtection="1">
      <alignment/>
      <protection locked="0"/>
    </xf>
    <xf numFmtId="40" fontId="1" fillId="34" borderId="16" xfId="62" applyNumberFormat="1" applyFont="1" applyFill="1" applyBorder="1">
      <alignment/>
      <protection/>
    </xf>
    <xf numFmtId="40" fontId="1" fillId="34" borderId="0" xfId="62" applyNumberFormat="1" applyFont="1" applyFill="1" applyBorder="1">
      <alignment/>
      <protection/>
    </xf>
    <xf numFmtId="40" fontId="1" fillId="34" borderId="15" xfId="62" applyNumberFormat="1" applyFont="1" applyFill="1" applyBorder="1">
      <alignment/>
      <protection/>
    </xf>
    <xf numFmtId="40" fontId="1" fillId="34" borderId="13" xfId="62" applyNumberFormat="1" applyFont="1" applyFill="1" applyBorder="1">
      <alignment/>
      <protection/>
    </xf>
    <xf numFmtId="40" fontId="1" fillId="34" borderId="14" xfId="62" applyNumberFormat="1" applyFont="1" applyFill="1" applyBorder="1">
      <alignment/>
      <protection/>
    </xf>
    <xf numFmtId="164" fontId="1" fillId="37" borderId="16" xfId="62" applyNumberFormat="1" applyFont="1" applyFill="1" applyBorder="1">
      <alignment/>
      <protection/>
    </xf>
    <xf numFmtId="164" fontId="1" fillId="37" borderId="10" xfId="62" applyNumberFormat="1" applyFont="1" applyFill="1" applyBorder="1">
      <alignment/>
      <protection/>
    </xf>
    <xf numFmtId="164" fontId="1" fillId="37" borderId="41" xfId="62" applyNumberFormat="1" applyFont="1" applyFill="1" applyBorder="1">
      <alignment/>
      <protection/>
    </xf>
    <xf numFmtId="164" fontId="0" fillId="0" borderId="0" xfId="62" applyNumberFormat="1">
      <alignment/>
      <protection/>
    </xf>
    <xf numFmtId="40" fontId="1" fillId="34" borderId="10" xfId="62" applyNumberFormat="1" applyFont="1" applyFill="1" applyBorder="1">
      <alignment/>
      <protection/>
    </xf>
    <xf numFmtId="40" fontId="1" fillId="34" borderId="17" xfId="62" applyNumberFormat="1" applyFont="1" applyFill="1" applyBorder="1">
      <alignment/>
      <protection/>
    </xf>
    <xf numFmtId="40" fontId="1" fillId="34" borderId="18" xfId="62" applyNumberFormat="1" applyFont="1" applyFill="1" applyBorder="1">
      <alignment/>
      <protection/>
    </xf>
    <xf numFmtId="0" fontId="1" fillId="0" borderId="16" xfId="62" applyFont="1" applyFill="1" applyBorder="1" applyAlignment="1">
      <alignment horizontal="center"/>
      <protection/>
    </xf>
    <xf numFmtId="0" fontId="1" fillId="0" borderId="10" xfId="62" applyFont="1" applyFill="1" applyBorder="1">
      <alignment/>
      <protection/>
    </xf>
    <xf numFmtId="0" fontId="0" fillId="0" borderId="0" xfId="62" applyFill="1">
      <alignment/>
      <protection/>
    </xf>
    <xf numFmtId="40" fontId="0" fillId="34" borderId="16" xfId="62" applyNumberFormat="1" applyFill="1" applyBorder="1">
      <alignment/>
      <protection/>
    </xf>
    <xf numFmtId="40" fontId="0" fillId="34" borderId="0" xfId="62" applyNumberFormat="1" applyFill="1" applyBorder="1">
      <alignment/>
      <protection/>
    </xf>
    <xf numFmtId="40" fontId="0" fillId="34" borderId="15" xfId="62" applyNumberFormat="1" applyFill="1" applyBorder="1">
      <alignment/>
      <protection/>
    </xf>
    <xf numFmtId="40" fontId="0" fillId="34" borderId="13" xfId="62" applyNumberFormat="1" applyFill="1" applyBorder="1">
      <alignment/>
      <protection/>
    </xf>
    <xf numFmtId="40" fontId="0" fillId="34" borderId="14" xfId="62" applyNumberFormat="1" applyFill="1" applyBorder="1">
      <alignment/>
      <protection/>
    </xf>
    <xf numFmtId="40" fontId="0" fillId="0" borderId="14" xfId="62" applyNumberFormat="1" applyBorder="1">
      <alignment/>
      <protection/>
    </xf>
    <xf numFmtId="0" fontId="11" fillId="0" borderId="10" xfId="62" applyFont="1" applyBorder="1">
      <alignment/>
      <protection/>
    </xf>
    <xf numFmtId="8" fontId="1" fillId="37" borderId="41" xfId="62" applyNumberFormat="1" applyFont="1" applyFill="1" applyBorder="1">
      <alignment/>
      <protection/>
    </xf>
    <xf numFmtId="0" fontId="0" fillId="34" borderId="16" xfId="62" applyFill="1" applyBorder="1">
      <alignment/>
      <protection/>
    </xf>
    <xf numFmtId="0" fontId="0" fillId="34" borderId="10" xfId="62" applyFill="1" applyBorder="1">
      <alignment/>
      <protection/>
    </xf>
    <xf numFmtId="0" fontId="0" fillId="34" borderId="17" xfId="62" applyFill="1" applyBorder="1">
      <alignment/>
      <protection/>
    </xf>
    <xf numFmtId="0" fontId="0" fillId="34" borderId="18" xfId="62" applyFill="1" applyBorder="1">
      <alignment/>
      <protection/>
    </xf>
    <xf numFmtId="0" fontId="0" fillId="35" borderId="14" xfId="62" applyFill="1" applyBorder="1">
      <alignment/>
      <protection/>
    </xf>
    <xf numFmtId="0" fontId="11" fillId="0" borderId="16" xfId="62" applyFont="1" applyBorder="1">
      <alignment/>
      <protection/>
    </xf>
    <xf numFmtId="40" fontId="1" fillId="0" borderId="16" xfId="62" applyNumberFormat="1" applyFont="1" applyBorder="1">
      <alignment/>
      <protection/>
    </xf>
    <xf numFmtId="0" fontId="12" fillId="0" borderId="0" xfId="62" applyFont="1">
      <alignment/>
      <protection/>
    </xf>
    <xf numFmtId="0" fontId="1" fillId="0" borderId="24" xfId="62" applyFont="1" applyBorder="1" applyAlignment="1">
      <alignment horizontal="center"/>
      <protection/>
    </xf>
    <xf numFmtId="0" fontId="9" fillId="0" borderId="25" xfId="62" applyFont="1" applyBorder="1" applyAlignment="1">
      <alignment horizontal="center"/>
      <protection/>
    </xf>
    <xf numFmtId="40" fontId="0" fillId="0" borderId="25" xfId="62" applyNumberFormat="1" applyBorder="1">
      <alignment/>
      <protection/>
    </xf>
    <xf numFmtId="40" fontId="0" fillId="0" borderId="26" xfId="62" applyNumberFormat="1" applyBorder="1">
      <alignment/>
      <protection/>
    </xf>
    <xf numFmtId="0" fontId="16" fillId="0" borderId="0" xfId="62" applyFont="1">
      <alignment/>
      <protection/>
    </xf>
    <xf numFmtId="0" fontId="1" fillId="0" borderId="27" xfId="62" applyFont="1" applyBorder="1" applyAlignment="1">
      <alignment horizontal="center"/>
      <protection/>
    </xf>
    <xf numFmtId="40" fontId="0" fillId="0" borderId="32" xfId="62" applyNumberFormat="1" applyBorder="1">
      <alignment/>
      <protection/>
    </xf>
    <xf numFmtId="0" fontId="16" fillId="0" borderId="0" xfId="62" applyFont="1" applyAlignment="1">
      <alignment horizontal="left" indent="1"/>
      <protection/>
    </xf>
    <xf numFmtId="40" fontId="1" fillId="0" borderId="43" xfId="62" applyNumberFormat="1" applyFont="1" applyBorder="1">
      <alignment/>
      <protection/>
    </xf>
    <xf numFmtId="40" fontId="1" fillId="37" borderId="16" xfId="62" applyNumberFormat="1" applyFont="1" applyFill="1" applyBorder="1">
      <alignment/>
      <protection/>
    </xf>
    <xf numFmtId="40" fontId="1" fillId="37" borderId="42" xfId="62" applyNumberFormat="1" applyFont="1" applyFill="1" applyBorder="1">
      <alignment/>
      <protection/>
    </xf>
    <xf numFmtId="40" fontId="1" fillId="37" borderId="16" xfId="62" applyNumberFormat="1" applyFont="1" applyFill="1" applyBorder="1" applyProtection="1">
      <alignment/>
      <protection locked="0"/>
    </xf>
    <xf numFmtId="40" fontId="1" fillId="37" borderId="42" xfId="62" applyNumberFormat="1" applyFont="1" applyFill="1" applyBorder="1" applyProtection="1">
      <alignment/>
      <protection locked="0"/>
    </xf>
    <xf numFmtId="0" fontId="1" fillId="0" borderId="28" xfId="62" applyFont="1" applyBorder="1" applyAlignment="1">
      <alignment horizontal="center"/>
      <protection/>
    </xf>
    <xf numFmtId="0" fontId="1" fillId="0" borderId="29" xfId="62" applyFont="1" applyBorder="1">
      <alignment/>
      <protection/>
    </xf>
    <xf numFmtId="8" fontId="1" fillId="37" borderId="44" xfId="62" applyNumberFormat="1" applyFont="1" applyFill="1" applyBorder="1">
      <alignment/>
      <protection/>
    </xf>
    <xf numFmtId="8" fontId="1" fillId="37" borderId="45" xfId="62" applyNumberFormat="1" applyFont="1" applyFill="1" applyBorder="1">
      <alignment/>
      <protection/>
    </xf>
    <xf numFmtId="0" fontId="57" fillId="0" borderId="10" xfId="62" applyFont="1" applyBorder="1" applyAlignment="1">
      <alignment horizontal="left" indent="1"/>
      <protection/>
    </xf>
    <xf numFmtId="0" fontId="0" fillId="0" borderId="10" xfId="62" applyBorder="1">
      <alignment/>
      <protection/>
    </xf>
    <xf numFmtId="0" fontId="13" fillId="0" borderId="0" xfId="62" applyFont="1">
      <alignment/>
      <protection/>
    </xf>
    <xf numFmtId="0" fontId="7" fillId="0" borderId="0" xfId="0" applyFont="1" applyAlignment="1" applyProtection="1">
      <alignment horizontal="right"/>
      <protection/>
    </xf>
    <xf numFmtId="0" fontId="1" fillId="0" borderId="46" xfId="0" applyFont="1" applyBorder="1" applyAlignment="1">
      <alignment/>
    </xf>
    <xf numFmtId="8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8" fontId="4" fillId="0" borderId="18" xfId="0" applyNumberFormat="1" applyFont="1" applyFill="1" applyBorder="1" applyAlignment="1" applyProtection="1">
      <alignment/>
      <protection locked="0"/>
    </xf>
    <xf numFmtId="40" fontId="4" fillId="0" borderId="18" xfId="0" applyNumberFormat="1" applyFont="1" applyFill="1" applyBorder="1" applyAlignment="1" applyProtection="1">
      <alignment/>
      <protection locked="0"/>
    </xf>
    <xf numFmtId="40" fontId="4" fillId="0" borderId="18" xfId="0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40" fillId="0" borderId="0" xfId="66">
      <alignment/>
      <protection/>
    </xf>
    <xf numFmtId="8" fontId="4" fillId="37" borderId="16" xfId="68" applyNumberFormat="1" applyFont="1" applyFill="1" applyBorder="1" applyProtection="1">
      <alignment/>
      <protection/>
    </xf>
    <xf numFmtId="40" fontId="0" fillId="0" borderId="0" xfId="0" applyNumberFormat="1" applyAlignment="1">
      <alignment/>
    </xf>
    <xf numFmtId="40" fontId="1" fillId="0" borderId="18" xfId="0" applyNumberFormat="1" applyFont="1" applyBorder="1" applyAlignment="1" applyProtection="1">
      <alignment/>
      <protection locked="0"/>
    </xf>
    <xf numFmtId="8" fontId="1" fillId="0" borderId="0" xfId="0" applyNumberFormat="1" applyFont="1" applyAlignment="1">
      <alignment/>
    </xf>
    <xf numFmtId="0" fontId="0" fillId="0" borderId="0" xfId="0" applyFont="1" applyAlignment="1">
      <alignment/>
    </xf>
    <xf numFmtId="40" fontId="1" fillId="37" borderId="41" xfId="0" applyNumberFormat="1" applyFont="1" applyFill="1" applyBorder="1" applyAlignment="1">
      <alignment/>
    </xf>
    <xf numFmtId="8" fontId="1" fillId="0" borderId="11" xfId="0" applyNumberFormat="1" applyFont="1" applyBorder="1" applyAlignment="1">
      <alignment horizontal="right"/>
    </xf>
    <xf numFmtId="8" fontId="1" fillId="0" borderId="18" xfId="0" applyNumberFormat="1" applyFont="1" applyBorder="1" applyAlignment="1">
      <alignment horizontal="right"/>
    </xf>
    <xf numFmtId="40" fontId="1" fillId="0" borderId="11" xfId="0" applyNumberFormat="1" applyFont="1" applyBorder="1" applyAlignment="1">
      <alignment horizontal="right"/>
    </xf>
    <xf numFmtId="40" fontId="1" fillId="0" borderId="18" xfId="0" applyNumberFormat="1" applyFont="1" applyBorder="1" applyAlignment="1">
      <alignment horizontal="right"/>
    </xf>
    <xf numFmtId="40" fontId="1" fillId="0" borderId="11" xfId="62" applyNumberFormat="1" applyFont="1" applyBorder="1" applyAlignment="1">
      <alignment horizontal="right"/>
      <protection/>
    </xf>
    <xf numFmtId="40" fontId="1" fillId="0" borderId="18" xfId="62" applyNumberFormat="1" applyFont="1" applyBorder="1" applyAlignment="1">
      <alignment horizontal="right"/>
      <protection/>
    </xf>
    <xf numFmtId="0" fontId="4" fillId="34" borderId="16" xfId="0" applyFont="1" applyFill="1" applyBorder="1" applyAlignment="1">
      <alignment/>
    </xf>
    <xf numFmtId="8" fontId="4" fillId="0" borderId="16" xfId="0" applyNumberFormat="1" applyFont="1" applyBorder="1" applyAlignment="1">
      <alignment/>
    </xf>
    <xf numFmtId="8" fontId="4" fillId="0" borderId="10" xfId="0" applyNumberFormat="1" applyFont="1" applyBorder="1" applyAlignment="1" applyProtection="1">
      <alignment/>
      <protection locked="0"/>
    </xf>
    <xf numFmtId="8" fontId="4" fillId="0" borderId="17" xfId="0" applyNumberFormat="1" applyFont="1" applyBorder="1" applyAlignment="1" applyProtection="1">
      <alignment/>
      <protection locked="0"/>
    </xf>
    <xf numFmtId="8" fontId="4" fillId="0" borderId="18" xfId="0" applyNumberFormat="1" applyFont="1" applyBorder="1" applyAlignment="1" applyProtection="1">
      <alignment/>
      <protection locked="0"/>
    </xf>
    <xf numFmtId="40" fontId="4" fillId="0" borderId="16" xfId="0" applyNumberFormat="1" applyFont="1" applyBorder="1" applyAlignment="1">
      <alignment/>
    </xf>
    <xf numFmtId="40" fontId="4" fillId="0" borderId="10" xfId="0" applyNumberFormat="1" applyFont="1" applyBorder="1" applyAlignment="1" applyProtection="1">
      <alignment/>
      <protection locked="0"/>
    </xf>
    <xf numFmtId="40" fontId="4" fillId="0" borderId="17" xfId="0" applyNumberFormat="1" applyFont="1" applyBorder="1" applyAlignment="1" applyProtection="1">
      <alignment/>
      <protection locked="0"/>
    </xf>
    <xf numFmtId="40" fontId="4" fillId="34" borderId="16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8" fontId="4" fillId="37" borderId="41" xfId="0" applyNumberFormat="1" applyFont="1" applyFill="1" applyBorder="1" applyAlignment="1">
      <alignment/>
    </xf>
    <xf numFmtId="8" fontId="0" fillId="0" borderId="0" xfId="0" applyNumberForma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_FRMRV990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6640625" style="0" customWidth="1"/>
    <col min="4" max="7" width="10.77734375" style="0" customWidth="1"/>
  </cols>
  <sheetData>
    <row r="1" spans="1:13" ht="20.25">
      <c r="A1" s="244" t="s">
        <v>0</v>
      </c>
      <c r="B1" s="16"/>
      <c r="C1" s="142"/>
      <c r="E1" s="1" t="s">
        <v>1</v>
      </c>
      <c r="F1" s="2"/>
      <c r="G1" s="2"/>
      <c r="I1" s="241"/>
      <c r="M1" s="29" t="s">
        <v>296</v>
      </c>
    </row>
    <row r="2" spans="5:13" ht="15.75">
      <c r="E2" s="1" t="s">
        <v>2</v>
      </c>
      <c r="F2" s="2"/>
      <c r="G2" s="2"/>
      <c r="K2" s="3" t="s">
        <v>126</v>
      </c>
      <c r="L2" s="4"/>
      <c r="M2" s="3"/>
    </row>
    <row r="3" spans="5:13" ht="15">
      <c r="E3" s="20" t="s">
        <v>320</v>
      </c>
      <c r="F3" s="2"/>
      <c r="G3" s="2"/>
      <c r="K3" s="3" t="s">
        <v>3</v>
      </c>
      <c r="L3" s="4"/>
      <c r="M3" s="3"/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2017-18.xls]Form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" customHeight="1">
      <c r="A48" s="16"/>
      <c r="B48" s="16"/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5" right="0.25" top="0" bottom="0.25" header="0.2" footer="0.18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3359375" style="0" customWidth="1"/>
    <col min="7" max="9" width="10.99609375" style="0" customWidth="1"/>
    <col min="10" max="13" width="11.33593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212</v>
      </c>
    </row>
    <row r="2" spans="5:13" ht="15.75">
      <c r="E2" s="41" t="s">
        <v>2</v>
      </c>
      <c r="F2" s="28"/>
      <c r="G2" s="28"/>
      <c r="H2" s="42"/>
      <c r="K2" s="85"/>
      <c r="L2" s="86"/>
      <c r="M2" s="18" t="s">
        <v>275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25" t="s">
        <v>276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+D8+'240'!D48</f>
        <v>0</v>
      </c>
      <c r="E10" s="184">
        <f>+E8+'240'!E48</f>
        <v>0</v>
      </c>
      <c r="F10" s="184">
        <f>+F8+'240'!F48</f>
        <v>0</v>
      </c>
      <c r="G10" s="184">
        <f>+G8+'240'!G48</f>
        <v>0</v>
      </c>
      <c r="H10" s="184">
        <f>+H8+'240'!H48</f>
        <v>0</v>
      </c>
      <c r="I10" s="184">
        <f>+I8+'240'!I48</f>
        <v>0</v>
      </c>
      <c r="J10" s="184">
        <f>+J8+'240'!J48</f>
        <v>0</v>
      </c>
      <c r="K10" s="184">
        <f>+K8+'240'!K48</f>
        <v>0</v>
      </c>
      <c r="L10" s="184">
        <f>+L8+'240'!L48</f>
        <v>0</v>
      </c>
      <c r="M10" s="184">
        <f>+M8+'240'!M48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SUM(D28,D21,D16,D10,'240'!D21)</f>
        <v>0</v>
      </c>
      <c r="E31" s="202">
        <f>SUM(E28,E21,E16,E10,'240'!E21)</f>
        <v>0</v>
      </c>
      <c r="F31" s="202">
        <f>SUM(F28,F21,F16,F10,'240'!F21)</f>
        <v>0</v>
      </c>
      <c r="G31" s="202">
        <f>SUM(G28,G21,G16,G10,'240'!G21)</f>
        <v>0</v>
      </c>
      <c r="H31" s="202">
        <f>SUM(H28,H21,H16,H10,'240'!H21)</f>
        <v>0</v>
      </c>
      <c r="I31" s="202">
        <f>SUM(I28,I21,I16,I10,'240'!I21)</f>
        <v>0</v>
      </c>
      <c r="J31" s="202">
        <f>SUM(J28,J21,J16,J10,'240'!J21)</f>
        <v>0</v>
      </c>
      <c r="K31" s="202">
        <f>SUM(K28,K21,K16,K10,'240'!K21)</f>
        <v>0</v>
      </c>
      <c r="L31" s="202">
        <f>SUM(L28,L21,L16,L10,'240'!L21)</f>
        <v>0</v>
      </c>
      <c r="M31" s="202">
        <f>SUM(M28,M21,M16,M10,'240'!M21)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21" t="str">
        <f ca="1">CELL("FILENAME",A8195)</f>
        <v>C:\Users\cchurch\Desktop\Documents\Budget\2017-2018 Budget\[Expenditures 2017-18.xls]240b</v>
      </c>
    </row>
  </sheetData>
  <sheetProtection/>
  <mergeCells count="2">
    <mergeCell ref="D36:D37"/>
    <mergeCell ref="E36:E37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29" t="s">
        <v>301</v>
      </c>
    </row>
    <row r="2" spans="5:13" ht="15.75">
      <c r="E2" s="1" t="s">
        <v>2</v>
      </c>
      <c r="F2" s="2"/>
      <c r="G2" s="2"/>
      <c r="M2" s="18" t="s">
        <v>128</v>
      </c>
    </row>
    <row r="3" spans="5:13" ht="15">
      <c r="E3" s="2" t="str">
        <f>Form!E3</f>
        <v>July 1, 2017 - June 30, 2018</v>
      </c>
      <c r="F3" s="2"/>
      <c r="G3" s="2"/>
      <c r="M3" s="25" t="s">
        <v>129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>
        <v>33830</v>
      </c>
      <c r="E9" s="98">
        <f t="shared" si="0"/>
        <v>34999</v>
      </c>
      <c r="F9" s="99">
        <v>28282</v>
      </c>
      <c r="G9" s="100">
        <f>3201+2163+328</f>
        <v>5692</v>
      </c>
      <c r="H9" s="101"/>
      <c r="I9" s="97">
        <f>600+250</f>
        <v>850</v>
      </c>
      <c r="J9" s="97"/>
      <c r="K9" s="97"/>
      <c r="L9" s="97">
        <v>175</v>
      </c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33830</v>
      </c>
      <c r="E21" s="200">
        <f t="shared" si="1"/>
        <v>34999</v>
      </c>
      <c r="F21" s="200">
        <f t="shared" si="1"/>
        <v>28282</v>
      </c>
      <c r="G21" s="200">
        <f t="shared" si="1"/>
        <v>5692</v>
      </c>
      <c r="H21" s="200">
        <f t="shared" si="1"/>
        <v>0</v>
      </c>
      <c r="I21" s="200">
        <f t="shared" si="1"/>
        <v>850</v>
      </c>
      <c r="J21" s="200">
        <f t="shared" si="1"/>
        <v>0</v>
      </c>
      <c r="K21" s="200">
        <f t="shared" si="1"/>
        <v>0</v>
      </c>
      <c r="L21" s="200">
        <f t="shared" si="1"/>
        <v>175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3359375" style="0" customWidth="1"/>
    <col min="7" max="9" width="10.99609375" style="0" customWidth="1"/>
    <col min="10" max="13" width="11.33593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228</v>
      </c>
    </row>
    <row r="2" spans="5:13" ht="15.75">
      <c r="E2" s="41" t="s">
        <v>2</v>
      </c>
      <c r="F2" s="28"/>
      <c r="G2" s="28"/>
      <c r="H2" s="42"/>
      <c r="K2" s="85"/>
      <c r="L2" s="86"/>
      <c r="M2" s="74" t="s">
        <v>128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129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+D8+'241'!D48</f>
        <v>0</v>
      </c>
      <c r="E10" s="184">
        <f>+E8+'241'!E48</f>
        <v>0</v>
      </c>
      <c r="F10" s="184">
        <f>+F8+'241'!F48</f>
        <v>0</v>
      </c>
      <c r="G10" s="184">
        <f>+G8+'241'!G48</f>
        <v>0</v>
      </c>
      <c r="H10" s="184">
        <f>+H8+'241'!H48</f>
        <v>0</v>
      </c>
      <c r="I10" s="184">
        <f>+I8+'241'!I48</f>
        <v>0</v>
      </c>
      <c r="J10" s="184">
        <f>+J8+'241'!J48</f>
        <v>0</v>
      </c>
      <c r="K10" s="184">
        <f>+K8+'241'!K48</f>
        <v>0</v>
      </c>
      <c r="L10" s="184">
        <f>+L8+'241'!L48</f>
        <v>0</v>
      </c>
      <c r="M10" s="184">
        <f>+M8+'241'!M48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SUM(D28,D21,D16,D10,'241'!D21)</f>
        <v>33830</v>
      </c>
      <c r="E31" s="202">
        <f>SUM(E28,E21,E16,E10,'241'!E21)</f>
        <v>34999</v>
      </c>
      <c r="F31" s="202">
        <f>SUM(F28,F21,F16,F10,'241'!F21)</f>
        <v>28282</v>
      </c>
      <c r="G31" s="202">
        <f>SUM(G28,G21,G16,G10,'241'!G21)</f>
        <v>5692</v>
      </c>
      <c r="H31" s="202">
        <f>SUM(H28,H21,H16,H10,'241'!H21)</f>
        <v>0</v>
      </c>
      <c r="I31" s="202">
        <f>SUM(I28,I21,I16,I10,'241'!I21)</f>
        <v>850</v>
      </c>
      <c r="J31" s="202">
        <f>SUM(J28,J21,J16,J10,'241'!J21)</f>
        <v>0</v>
      </c>
      <c r="K31" s="202">
        <f>SUM(K28,K21,K16,K10,'241'!K21)</f>
        <v>0</v>
      </c>
      <c r="L31" s="202">
        <f>SUM(L28,L21,L16,L10,'241'!L21)</f>
        <v>175</v>
      </c>
      <c r="M31" s="202">
        <f>SUM(M28,M21,M16,M10,'241'!M21)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5832</v>
      </c>
      <c r="E42" s="193">
        <v>5998.93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f>+D31</f>
        <v>33830</v>
      </c>
      <c r="E43" s="193">
        <f>16500+12500</f>
        <v>29000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39662</v>
      </c>
      <c r="E44" s="193">
        <f>SUM(E42:E43)</f>
        <v>34998.93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33830</v>
      </c>
      <c r="E46" s="190">
        <f>E31</f>
        <v>34999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5832</v>
      </c>
      <c r="E47" s="195">
        <v>-0.07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39662</v>
      </c>
      <c r="E48" s="197">
        <f>SUM(E46:E47)</f>
        <v>34998.93</v>
      </c>
      <c r="F48" s="3"/>
      <c r="G48" s="3"/>
      <c r="H48" s="3"/>
      <c r="I48" s="3"/>
      <c r="J48" s="3"/>
      <c r="K48" s="3"/>
      <c r="L48" s="3"/>
      <c r="M48" s="64"/>
    </row>
    <row r="49" ht="15">
      <c r="A49" s="21" t="str">
        <f ca="1">CELL("FILENAME",A8195)</f>
        <v>C:\Users\cchurch\Desktop\Documents\Budget\2017-2018 Budget\[Expenditures 2017-18.xls]241b</v>
      </c>
    </row>
    <row r="50" spans="4:5" ht="15">
      <c r="D50" s="404">
        <f>+D44-D48</f>
        <v>0</v>
      </c>
      <c r="E50" s="404">
        <f>+E44-E48</f>
        <v>0</v>
      </c>
    </row>
    <row r="52" ht="15">
      <c r="E52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29" t="s">
        <v>215</v>
      </c>
    </row>
    <row r="2" spans="5:13" ht="15.75">
      <c r="E2" s="1" t="s">
        <v>2</v>
      </c>
      <c r="F2" s="2"/>
      <c r="G2" s="2"/>
      <c r="K2" s="20"/>
      <c r="L2" s="20"/>
      <c r="M2" s="25" t="s">
        <v>253</v>
      </c>
    </row>
    <row r="3" spans="5:13" ht="15">
      <c r="E3" s="2" t="str">
        <f>Form!E3</f>
        <v>July 1, 2017 - June 30, 2018</v>
      </c>
      <c r="F3" s="2"/>
      <c r="G3" s="2"/>
      <c r="L3" s="20"/>
      <c r="M3" s="25" t="s">
        <v>130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 t="s">
        <v>146</v>
      </c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>
        <v>40676</v>
      </c>
      <c r="E9" s="98">
        <f t="shared" si="0"/>
        <v>40676</v>
      </c>
      <c r="F9" s="99">
        <v>11619</v>
      </c>
      <c r="G9" s="100">
        <f>1315+889+135</f>
        <v>2339</v>
      </c>
      <c r="H9" s="101">
        <f>1176+1800+3500+300+1600</f>
        <v>8376</v>
      </c>
      <c r="I9" s="97">
        <f>2535+2500+3912+1895+0</f>
        <v>10842</v>
      </c>
      <c r="J9" s="97">
        <f>1000+3000+3500</f>
        <v>7500</v>
      </c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40676</v>
      </c>
      <c r="E21" s="200">
        <f t="shared" si="1"/>
        <v>40676</v>
      </c>
      <c r="F21" s="200">
        <f t="shared" si="1"/>
        <v>11619</v>
      </c>
      <c r="G21" s="200">
        <f t="shared" si="1"/>
        <v>2339</v>
      </c>
      <c r="H21" s="200">
        <f t="shared" si="1"/>
        <v>8376</v>
      </c>
      <c r="I21" s="200">
        <f t="shared" si="1"/>
        <v>10842</v>
      </c>
      <c r="J21" s="200">
        <f t="shared" si="1"/>
        <v>7500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2017-18.xls]243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3" width="11.214843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302</v>
      </c>
    </row>
    <row r="2" spans="5:13" ht="15.75">
      <c r="E2" s="41" t="s">
        <v>2</v>
      </c>
      <c r="F2" s="28"/>
      <c r="G2" s="28"/>
      <c r="H2" s="42"/>
      <c r="K2" s="85"/>
      <c r="L2" s="86"/>
      <c r="M2" s="25" t="s">
        <v>253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213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+D8+'243'!D48</f>
        <v>0</v>
      </c>
      <c r="E10" s="184">
        <f>+E8+'243'!E48</f>
        <v>0</v>
      </c>
      <c r="F10" s="184">
        <f>+F8+'243'!F48</f>
        <v>0</v>
      </c>
      <c r="G10" s="184">
        <f>+G8+'243'!G48</f>
        <v>0</v>
      </c>
      <c r="H10" s="184">
        <f>+H8+'243'!H48</f>
        <v>0</v>
      </c>
      <c r="I10" s="184">
        <f>+I8+'243'!I48</f>
        <v>0</v>
      </c>
      <c r="J10" s="184">
        <f>+J8+'243'!J48</f>
        <v>0</v>
      </c>
      <c r="K10" s="184">
        <f>+K8+'243'!K48</f>
        <v>0</v>
      </c>
      <c r="L10" s="184">
        <f>+L8+'243'!L48</f>
        <v>0</v>
      </c>
      <c r="M10" s="184">
        <f>+M8+'243'!M48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 t="s">
        <v>146</v>
      </c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SUM(D28,D21,D16,D10,'243'!D21)</f>
        <v>40676</v>
      </c>
      <c r="E31" s="202">
        <f>SUM(E28,E21,E16,E10,'243'!E21)</f>
        <v>40676</v>
      </c>
      <c r="F31" s="202">
        <f>SUM(F28,F21,F16,F10,'243'!F21)</f>
        <v>11619</v>
      </c>
      <c r="G31" s="202">
        <f>SUM(G28,G21,G16,G10,'243'!G21)</f>
        <v>2339</v>
      </c>
      <c r="H31" s="202">
        <f>SUM(H28,H21,H16,H10,'243'!H21)</f>
        <v>8376</v>
      </c>
      <c r="I31" s="202">
        <f>SUM(I28,I21,I16,I10,'243'!I21)</f>
        <v>10842</v>
      </c>
      <c r="J31" s="202">
        <f>SUM(J28,J21,J16,J10,'243'!J21)</f>
        <v>7500</v>
      </c>
      <c r="K31" s="202">
        <f>SUM(K28,K21,K16,K10,'243'!K21)</f>
        <v>0</v>
      </c>
      <c r="L31" s="202">
        <f>SUM(L28,L21,L16,L10,'243'!L21)</f>
        <v>0</v>
      </c>
      <c r="M31" s="202">
        <f>SUM(M28,M21,M16,M10,'243'!M21)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3153.25</v>
      </c>
      <c r="E42" s="193">
        <v>2714.55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f>+D31</f>
        <v>40676</v>
      </c>
      <c r="E43" s="193">
        <v>40676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43829.25</v>
      </c>
      <c r="E44" s="193">
        <f>SUM(E42:E43)</f>
        <v>43390.55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40676</v>
      </c>
      <c r="E46" s="190">
        <f>E31</f>
        <v>40676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3153.25</v>
      </c>
      <c r="E47" s="195">
        <v>2714.55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43829.25</v>
      </c>
      <c r="E48" s="197">
        <f>SUM(E46:E47)</f>
        <v>43390.55</v>
      </c>
      <c r="F48" s="3"/>
      <c r="G48" s="3"/>
      <c r="H48" s="3"/>
      <c r="I48" s="3"/>
      <c r="J48" s="3"/>
      <c r="K48" s="3"/>
      <c r="L48" s="3"/>
      <c r="M48" s="64"/>
    </row>
    <row r="49" ht="15">
      <c r="A49" s="21" t="str">
        <f ca="1">CELL("FILENAME",A8195)</f>
        <v>C:\Users\cchurch\Desktop\Documents\Budget\2017-2018 Budget\[Expenditures 2017-18.xls]243b</v>
      </c>
    </row>
    <row r="50" spans="4:5" ht="15">
      <c r="D50" s="415">
        <f>+D48-D44</f>
        <v>0</v>
      </c>
      <c r="E50" s="415">
        <f>+E48-E44</f>
        <v>0</v>
      </c>
    </row>
    <row r="51" spans="4:5" ht="15">
      <c r="D51" t="s">
        <v>354</v>
      </c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29" t="s">
        <v>229</v>
      </c>
    </row>
    <row r="2" spans="5:13" ht="15.75">
      <c r="E2" s="1" t="s">
        <v>2</v>
      </c>
      <c r="F2" s="2"/>
      <c r="G2" s="2"/>
      <c r="L2" s="19"/>
      <c r="M2" s="74" t="s">
        <v>257</v>
      </c>
    </row>
    <row r="3" spans="5:13" ht="15">
      <c r="E3" s="2" t="str">
        <f>Form!E3</f>
        <v>July 1, 2017 - June 30, 2018</v>
      </c>
      <c r="F3" s="2"/>
      <c r="G3" s="2"/>
      <c r="L3" s="20"/>
      <c r="M3" s="25" t="s">
        <v>131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>
        <v>353750</v>
      </c>
      <c r="E28" s="98">
        <f>SUM(F28:M28)</f>
        <v>437607</v>
      </c>
      <c r="F28" s="99">
        <f>160688+2</f>
        <v>160690</v>
      </c>
      <c r="G28" s="100">
        <f>17850+12063+19005+1829</f>
        <v>50747</v>
      </c>
      <c r="H28" s="101">
        <f>143652+3080+9033</f>
        <v>155765</v>
      </c>
      <c r="I28" s="97">
        <v>9138</v>
      </c>
      <c r="J28" s="97">
        <f>1267+60000</f>
        <v>61267</v>
      </c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2017-18.xls]245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353750</v>
      </c>
      <c r="E48" s="193">
        <f t="shared" si="3"/>
        <v>437607</v>
      </c>
      <c r="F48" s="193">
        <f t="shared" si="3"/>
        <v>160690</v>
      </c>
      <c r="G48" s="193">
        <f t="shared" si="3"/>
        <v>50747</v>
      </c>
      <c r="H48" s="193">
        <f t="shared" si="3"/>
        <v>155765</v>
      </c>
      <c r="I48" s="193">
        <f t="shared" si="3"/>
        <v>9138</v>
      </c>
      <c r="J48" s="193">
        <f t="shared" si="3"/>
        <v>61267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4.77734375" style="129" customWidth="1"/>
    <col min="3" max="3" width="29.77734375" style="0" customWidth="1"/>
    <col min="4" max="6" width="11.77734375" style="0" customWidth="1"/>
    <col min="7" max="13" width="11.214843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214</v>
      </c>
    </row>
    <row r="2" spans="5:13" ht="15.75">
      <c r="E2" s="41" t="s">
        <v>2</v>
      </c>
      <c r="F2" s="28"/>
      <c r="G2" s="28"/>
      <c r="H2" s="42"/>
      <c r="K2" s="85"/>
      <c r="L2" s="86"/>
      <c r="M2" s="74" t="s">
        <v>257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216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+D8+'245'!D48</f>
        <v>353750</v>
      </c>
      <c r="E10" s="184">
        <f>+E8+'245'!E48</f>
        <v>437607</v>
      </c>
      <c r="F10" s="184">
        <f>+F8+'245'!F48</f>
        <v>160690</v>
      </c>
      <c r="G10" s="184">
        <f>+G8+'245'!G48</f>
        <v>50747</v>
      </c>
      <c r="H10" s="184">
        <f>+H8+'245'!H48</f>
        <v>155765</v>
      </c>
      <c r="I10" s="184">
        <f>+I8+'245'!I48</f>
        <v>9138</v>
      </c>
      <c r="J10" s="184">
        <f>+J8+'245'!J48</f>
        <v>61267</v>
      </c>
      <c r="K10" s="184">
        <f>+K8+'245'!K48</f>
        <v>0</v>
      </c>
      <c r="L10" s="184">
        <f>+L8+'245'!L48</f>
        <v>0</v>
      </c>
      <c r="M10" s="184">
        <f>+M8+'245'!M48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SUM(D28,D21,D16,D10,'245'!D21)</f>
        <v>353750</v>
      </c>
      <c r="E31" s="202">
        <f>SUM(E28,E21,E16,E10,'245'!E21)</f>
        <v>437607</v>
      </c>
      <c r="F31" s="202">
        <f>SUM(F28,F21,F16,F10,'245'!F21)</f>
        <v>160690</v>
      </c>
      <c r="G31" s="202">
        <f>SUM(G28,G21,G16,G10,'245'!G21)</f>
        <v>50747</v>
      </c>
      <c r="H31" s="202">
        <f>SUM(H28,H21,H16,H10,'245'!H21)</f>
        <v>155765</v>
      </c>
      <c r="I31" s="202">
        <f>SUM(I28,I21,I16,I10,'245'!I21)</f>
        <v>9138</v>
      </c>
      <c r="J31" s="202">
        <f>SUM(J28,J21,J16,J10,'245'!J21)</f>
        <v>61267</v>
      </c>
      <c r="K31" s="202">
        <f>SUM(K28,K21,K16,K10,'245'!K21)</f>
        <v>0</v>
      </c>
      <c r="L31" s="202">
        <f>SUM(L28,L21,L16,L10,'245'!L21)</f>
        <v>0</v>
      </c>
      <c r="M31" s="202">
        <f>SUM(M28,M21,M16,M10,'245'!M21)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0</v>
      </c>
      <c r="E42" s="193">
        <v>25882.73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353750</v>
      </c>
      <c r="E43" s="193">
        <v>437607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353750</v>
      </c>
      <c r="E44" s="193">
        <f>SUM(E42:E43)</f>
        <v>463489.73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353750</v>
      </c>
      <c r="E46" s="190">
        <f>E31</f>
        <v>437607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0</v>
      </c>
      <c r="E47" s="195">
        <f>+E42</f>
        <v>25882.73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353750</v>
      </c>
      <c r="E48" s="197">
        <f>SUM(E46:E47)</f>
        <v>463489.73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2017-18.xls]245b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29" t="s">
        <v>303</v>
      </c>
    </row>
    <row r="2" spans="5:13" ht="15.75">
      <c r="E2" s="1" t="s">
        <v>2</v>
      </c>
      <c r="F2" s="2"/>
      <c r="G2" s="2"/>
      <c r="K2" s="24"/>
      <c r="L2" s="25"/>
      <c r="M2" s="25" t="s">
        <v>132</v>
      </c>
    </row>
    <row r="3" spans="5:13" ht="15">
      <c r="E3" s="2" t="str">
        <f>Form!E3</f>
        <v>July 1, 2017 - June 30, 2018</v>
      </c>
      <c r="F3" s="2"/>
      <c r="G3" s="2"/>
      <c r="L3" s="19"/>
      <c r="M3" s="25" t="s">
        <v>133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>
        <v>23075</v>
      </c>
      <c r="E9" s="98">
        <f t="shared" si="0"/>
        <v>23764</v>
      </c>
      <c r="F9" s="99"/>
      <c r="G9" s="100"/>
      <c r="H9" s="101">
        <v>150</v>
      </c>
      <c r="I9" s="97">
        <v>23614</v>
      </c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23075</v>
      </c>
      <c r="E21" s="200">
        <f t="shared" si="1"/>
        <v>23764</v>
      </c>
      <c r="F21" s="200">
        <f t="shared" si="1"/>
        <v>0</v>
      </c>
      <c r="G21" s="200">
        <f t="shared" si="1"/>
        <v>0</v>
      </c>
      <c r="H21" s="200">
        <f t="shared" si="1"/>
        <v>150</v>
      </c>
      <c r="I21" s="200">
        <f t="shared" si="1"/>
        <v>23614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2017-18.xls]246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279</v>
      </c>
    </row>
    <row r="2" spans="5:13" ht="15.75">
      <c r="E2" s="41" t="s">
        <v>2</v>
      </c>
      <c r="F2" s="28"/>
      <c r="G2" s="28"/>
      <c r="H2" s="42"/>
      <c r="K2" s="85"/>
      <c r="L2" s="86"/>
      <c r="M2" s="74" t="s">
        <v>132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219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+D8+'246'!D48</f>
        <v>0</v>
      </c>
      <c r="E10" s="184">
        <f>+E8+'246'!E48</f>
        <v>0</v>
      </c>
      <c r="F10" s="184">
        <f>+F8+'246'!F48</f>
        <v>0</v>
      </c>
      <c r="G10" s="184">
        <f>+G8+'246'!G48</f>
        <v>0</v>
      </c>
      <c r="H10" s="184">
        <f>+H8+'246'!H48</f>
        <v>0</v>
      </c>
      <c r="I10" s="184">
        <f>+I8+'246'!I48</f>
        <v>0</v>
      </c>
      <c r="J10" s="184">
        <f>+J8+'246'!J48</f>
        <v>0</v>
      </c>
      <c r="K10" s="184">
        <f>+K8+'246'!K48</f>
        <v>0</v>
      </c>
      <c r="L10" s="184">
        <f>+L8+'246'!L48</f>
        <v>0</v>
      </c>
      <c r="M10" s="184">
        <f>+M8+'246'!M48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SUM(D28,D21,D16,D10,'246'!D21)</f>
        <v>23075</v>
      </c>
      <c r="E31" s="202">
        <f>SUM(E28,E21,E16,E10,'246'!E21)</f>
        <v>23764</v>
      </c>
      <c r="F31" s="202">
        <f>SUM(F28,F21,F16,F10,'246'!F21)</f>
        <v>0</v>
      </c>
      <c r="G31" s="202">
        <f>SUM(G28,G21,G16,G10,'246'!G21)</f>
        <v>0</v>
      </c>
      <c r="H31" s="202">
        <f>SUM(H28,H21,H16,H10,'246'!H21)</f>
        <v>150</v>
      </c>
      <c r="I31" s="202">
        <f>SUM(I28,I21,I16,I10,'246'!I21)</f>
        <v>23614</v>
      </c>
      <c r="J31" s="202">
        <f>SUM(J28,J21,J16,J10,'246'!J21)</f>
        <v>0</v>
      </c>
      <c r="K31" s="202">
        <f>SUM(K28,K21,K16,K10,'246'!K21)</f>
        <v>0</v>
      </c>
      <c r="L31" s="202">
        <f>SUM(L28,L21,L16,L10,'246'!L21)</f>
        <v>0</v>
      </c>
      <c r="M31" s="202">
        <f>SUM(M28,M21,M16,M10,'246'!M21)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0.73</v>
      </c>
      <c r="E42" s="193">
        <v>0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23075</v>
      </c>
      <c r="E43" s="193">
        <v>23764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23075.73</v>
      </c>
      <c r="E44" s="193">
        <f>SUM(E42:E43)</f>
        <v>23764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23075</v>
      </c>
      <c r="E46" s="190">
        <f>E31</f>
        <v>23764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0.73</v>
      </c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23075.73</v>
      </c>
      <c r="E48" s="197">
        <f>SUM(E46:E47)</f>
        <v>23764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2017-18.xls]246b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29" t="s">
        <v>217</v>
      </c>
    </row>
    <row r="2" spans="5:13" ht="15.75">
      <c r="E2" s="1" t="s">
        <v>2</v>
      </c>
      <c r="F2" s="2"/>
      <c r="G2" s="2"/>
      <c r="H2" s="23" t="s">
        <v>134</v>
      </c>
      <c r="I2" s="22"/>
      <c r="J2" s="22"/>
      <c r="K2" s="3" t="s">
        <v>135</v>
      </c>
      <c r="L2" s="4"/>
      <c r="M2" s="3"/>
    </row>
    <row r="3" spans="5:13" ht="15">
      <c r="E3" s="2" t="str">
        <f>Form!E3</f>
        <v>July 1, 2017 - June 30, 2018</v>
      </c>
      <c r="F3" s="2"/>
      <c r="G3" s="2"/>
      <c r="H3" s="23" t="s">
        <v>136</v>
      </c>
      <c r="I3" s="22"/>
      <c r="J3" s="22"/>
      <c r="K3" s="3" t="s">
        <v>3</v>
      </c>
      <c r="L3" s="4"/>
      <c r="M3" s="3"/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2017-18.xls]State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77734375" style="0" customWidth="1"/>
  </cols>
  <sheetData>
    <row r="1" spans="1:13" ht="20.25">
      <c r="A1" s="244" t="s">
        <v>0</v>
      </c>
      <c r="B1" s="128"/>
      <c r="C1" s="143"/>
      <c r="E1" s="41" t="s">
        <v>1</v>
      </c>
      <c r="F1" s="28"/>
      <c r="G1" s="28"/>
      <c r="H1" s="28"/>
      <c r="I1" s="241"/>
      <c r="L1" s="17"/>
      <c r="M1" s="29" t="s">
        <v>297</v>
      </c>
    </row>
    <row r="2" spans="5:13" ht="15.75">
      <c r="E2" s="41" t="s">
        <v>2</v>
      </c>
      <c r="F2" s="28"/>
      <c r="G2" s="28"/>
      <c r="H2" s="42"/>
      <c r="K2" s="3" t="s">
        <v>126</v>
      </c>
      <c r="L2" s="4"/>
      <c r="M2" s="3"/>
    </row>
    <row r="3" spans="5:13" ht="15" customHeight="1">
      <c r="E3" s="2" t="str">
        <f>Form!E3</f>
        <v>July 1, 2017 - June 30, 2018</v>
      </c>
      <c r="F3" s="2"/>
      <c r="G3" s="2"/>
      <c r="H3" s="42"/>
      <c r="J3" s="43" t="s">
        <v>146</v>
      </c>
      <c r="K3" s="3" t="s">
        <v>3</v>
      </c>
      <c r="L3" s="4"/>
      <c r="M3" s="3"/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+D8+Form!D48</f>
        <v>0</v>
      </c>
      <c r="E10" s="184">
        <f>+E8+Form!E48</f>
        <v>0</v>
      </c>
      <c r="F10" s="184">
        <f>+F8+Form!F48</f>
        <v>0</v>
      </c>
      <c r="G10" s="184">
        <f>+G8+Form!G48</f>
        <v>0</v>
      </c>
      <c r="H10" s="184">
        <f>+H8+Form!H48</f>
        <v>0</v>
      </c>
      <c r="I10" s="184">
        <f>+I8+Form!I48</f>
        <v>0</v>
      </c>
      <c r="J10" s="184">
        <f>+J8+Form!J48</f>
        <v>0</v>
      </c>
      <c r="K10" s="184">
        <f>+K8+Form!K48</f>
        <v>0</v>
      </c>
      <c r="L10" s="184">
        <f>+L8+Form!L48</f>
        <v>0</v>
      </c>
      <c r="M10" s="184">
        <f>+M8+Form!M48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 aca="true" t="shared" si="0" ref="D16:M16">SUM(D12:D14)</f>
        <v>0</v>
      </c>
      <c r="E16" s="210">
        <f t="shared" si="0"/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 aca="true" t="shared" si="1" ref="D21:M21">SUM(D17:D19)</f>
        <v>0</v>
      </c>
      <c r="E21" s="186">
        <f t="shared" si="1"/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/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 aca="true" t="shared" si="2" ref="D28:M28">SUM(D23:D27)</f>
        <v>0</v>
      </c>
      <c r="E28" s="210">
        <f t="shared" si="2"/>
        <v>0</v>
      </c>
      <c r="F28" s="186">
        <f t="shared" si="2"/>
        <v>0</v>
      </c>
      <c r="G28" s="186">
        <f t="shared" si="2"/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SUM(D28,D21,D16,D10,Form!D21)</f>
        <v>0</v>
      </c>
      <c r="E31" s="202">
        <f>SUM(E28,E21,E16,E10,Form!E21)</f>
        <v>0</v>
      </c>
      <c r="F31" s="202">
        <f>SUM(F28,F21,F16,F10,Form!F21)</f>
        <v>0</v>
      </c>
      <c r="G31" s="202">
        <f>SUM(G28,G21,G16,G10,Form!G21)</f>
        <v>0</v>
      </c>
      <c r="H31" s="202">
        <f>SUM(H28,H21,H16,H10,Form!H21)</f>
        <v>0</v>
      </c>
      <c r="I31" s="202">
        <f>SUM(I28,I21,I16,I10,Form!I21)</f>
        <v>0</v>
      </c>
      <c r="J31" s="202">
        <f>SUM(J28,J21,J16,J10,Form!J21)</f>
        <v>0</v>
      </c>
      <c r="K31" s="202">
        <f>SUM(K28,K21,K16,K10,Form!K21)</f>
        <v>0</v>
      </c>
      <c r="L31" s="202">
        <f>SUM(L28,L21,L16,L10,Form!L21)</f>
        <v>0</v>
      </c>
      <c r="M31" s="202">
        <f>SUM(M28,M21,M16,M10,Form!M21)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13.5" customHeight="1">
      <c r="A33" s="55" t="s">
        <v>191</v>
      </c>
      <c r="B33" s="54">
        <v>950</v>
      </c>
      <c r="C33" s="49" t="s">
        <v>251</v>
      </c>
      <c r="D33" s="123"/>
      <c r="E33" s="123"/>
      <c r="M33" s="50"/>
    </row>
    <row r="34" spans="1:13" ht="12" customHeight="1">
      <c r="A34" s="55" t="s">
        <v>192</v>
      </c>
      <c r="B34" s="56"/>
      <c r="C34" s="69" t="s">
        <v>292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 t="s">
        <v>252</v>
      </c>
      <c r="D36" s="420">
        <f>+D31+D34</f>
        <v>0</v>
      </c>
      <c r="E36" s="420">
        <f>+E31+E34</f>
        <v>0</v>
      </c>
      <c r="M36" s="50"/>
    </row>
    <row r="37" spans="1:13" ht="12" customHeight="1">
      <c r="A37" s="55" t="s">
        <v>198</v>
      </c>
      <c r="B37" s="56"/>
      <c r="C37" s="69" t="s">
        <v>272</v>
      </c>
      <c r="D37" s="421"/>
      <c r="E37" s="421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0</v>
      </c>
      <c r="E42" s="193">
        <v>0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D36</f>
        <v>0</v>
      </c>
      <c r="E46" s="190">
        <f>E36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2017-18.xls]Formb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21" footer="0.28"/>
  <pageSetup fitToHeight="1" fitToWidth="1" horizontalDpi="600" verticalDpi="6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304</v>
      </c>
    </row>
    <row r="2" spans="5:13" ht="15.75">
      <c r="E2" s="41" t="s">
        <v>2</v>
      </c>
      <c r="F2" s="28"/>
      <c r="G2" s="28"/>
      <c r="H2" s="42"/>
      <c r="I2" s="79" t="s">
        <v>143</v>
      </c>
      <c r="K2" s="88" t="s">
        <v>135</v>
      </c>
      <c r="L2" s="75"/>
      <c r="M2" s="91"/>
    </row>
    <row r="3" spans="5:13" ht="15">
      <c r="E3" s="2" t="str">
        <f>Form!E3</f>
        <v>July 1, 2017 - June 30, 2018</v>
      </c>
      <c r="F3" s="2"/>
      <c r="G3" s="2"/>
      <c r="H3" s="42"/>
      <c r="I3" s="79" t="s">
        <v>136</v>
      </c>
      <c r="J3" s="87"/>
      <c r="K3" s="88" t="s">
        <v>3</v>
      </c>
      <c r="L3" s="89"/>
      <c r="M3" s="90"/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+D8+State!D48</f>
        <v>0</v>
      </c>
      <c r="E10" s="184">
        <f>+E8+State!E48</f>
        <v>0</v>
      </c>
      <c r="F10" s="184">
        <f>+F8+State!F48</f>
        <v>0</v>
      </c>
      <c r="G10" s="184">
        <f>+G8+State!G48</f>
        <v>0</v>
      </c>
      <c r="H10" s="184">
        <f>+H8+State!H48</f>
        <v>0</v>
      </c>
      <c r="I10" s="184">
        <f>+I8+State!I48</f>
        <v>0</v>
      </c>
      <c r="J10" s="184">
        <f>+J8+State!J48</f>
        <v>0</v>
      </c>
      <c r="K10" s="184">
        <f>+K8+State!K48</f>
        <v>0</v>
      </c>
      <c r="L10" s="184">
        <f>+L8+State!L48</f>
        <v>0</v>
      </c>
      <c r="M10" s="184">
        <f>+M8+State!M48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SUM(D28,D21,D16,D10,State!D21)</f>
        <v>0</v>
      </c>
      <c r="E31" s="202">
        <f>SUM(E28,E21,E16,E10,State!E21)</f>
        <v>0</v>
      </c>
      <c r="F31" s="202">
        <f>SUM(F28,F21,F16,F10,State!F21)</f>
        <v>0</v>
      </c>
      <c r="G31" s="202">
        <f>SUM(G28,G21,G16,G10,State!G21)</f>
        <v>0</v>
      </c>
      <c r="H31" s="202">
        <f>SUM(H28,H21,H16,H10,State!H21)</f>
        <v>0</v>
      </c>
      <c r="I31" s="202">
        <f>SUM(I28,I21,I16,I10,State!I21)</f>
        <v>0</v>
      </c>
      <c r="J31" s="202">
        <f>SUM(J28,J21,J16,J10,State!J21)</f>
        <v>0</v>
      </c>
      <c r="K31" s="202">
        <f>SUM(K28,K21,K16,K10,State!K21)</f>
        <v>0</v>
      </c>
      <c r="L31" s="202">
        <f>SUM(L28,L21,L16,L10,State!L21)</f>
        <v>0</v>
      </c>
      <c r="M31" s="202">
        <f>SUM(M28,M21,M16,M10,State!M21)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2017-18.xls]Stateb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29" t="s">
        <v>230</v>
      </c>
    </row>
    <row r="2" spans="5:13" ht="15.75">
      <c r="E2" s="1" t="s">
        <v>2</v>
      </c>
      <c r="F2" s="2"/>
      <c r="G2" s="2"/>
      <c r="L2" s="19"/>
      <c r="M2" s="245" t="s">
        <v>322</v>
      </c>
    </row>
    <row r="3" spans="5:13" ht="15">
      <c r="E3" s="2" t="str">
        <f>Form!E3</f>
        <v>July 1, 2017 - June 30, 2018</v>
      </c>
      <c r="F3" s="2"/>
      <c r="G3" s="2"/>
      <c r="L3" s="20"/>
      <c r="M3" s="245" t="s">
        <v>137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>
        <v>357141</v>
      </c>
      <c r="E12" s="98">
        <f t="shared" si="0"/>
        <v>324006</v>
      </c>
      <c r="F12" s="428">
        <f>210779-1</f>
        <v>210778</v>
      </c>
      <c r="G12" s="429">
        <f>23860+16125+50798+2445</f>
        <v>93228</v>
      </c>
      <c r="H12" s="430">
        <v>20000</v>
      </c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357141</v>
      </c>
      <c r="E21" s="200">
        <f t="shared" si="1"/>
        <v>324006</v>
      </c>
      <c r="F21" s="200">
        <f t="shared" si="1"/>
        <v>210778</v>
      </c>
      <c r="G21" s="200">
        <f t="shared" si="1"/>
        <v>93228</v>
      </c>
      <c r="H21" s="200">
        <f t="shared" si="1"/>
        <v>20000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2017-18.xls]251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4" width="11.77734375" style="0" customWidth="1"/>
    <col min="5" max="5" width="11.99609375" style="0" customWidth="1"/>
    <col min="6" max="6" width="11.77734375" style="0" customWidth="1"/>
    <col min="7" max="12" width="11.10546875" style="0" customWidth="1"/>
    <col min="13" max="13" width="11.88671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218</v>
      </c>
    </row>
    <row r="2" spans="5:13" ht="15.75">
      <c r="E2" s="41" t="s">
        <v>2</v>
      </c>
      <c r="F2" s="28"/>
      <c r="G2" s="28"/>
      <c r="H2" s="42"/>
      <c r="K2" s="85"/>
      <c r="L2" s="86"/>
      <c r="M2" s="245" t="s">
        <v>322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245" t="s">
        <v>137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+D8+'251'!D48</f>
        <v>0</v>
      </c>
      <c r="E10" s="184">
        <f>+E8+'251'!E48</f>
        <v>0</v>
      </c>
      <c r="F10" s="184">
        <f>+F8+'251'!F48</f>
        <v>0</v>
      </c>
      <c r="G10" s="184">
        <f>+G8+'251'!G48</f>
        <v>0</v>
      </c>
      <c r="H10" s="184">
        <f>+H8+'251'!H48</f>
        <v>0</v>
      </c>
      <c r="I10" s="184">
        <f>+I8+'251'!I48</f>
        <v>0</v>
      </c>
      <c r="J10" s="184">
        <f>+J8+'251'!J48</f>
        <v>0</v>
      </c>
      <c r="K10" s="184">
        <f>+K8+'251'!K48</f>
        <v>0</v>
      </c>
      <c r="L10" s="184">
        <f>+L8+'251'!L48</f>
        <v>0</v>
      </c>
      <c r="M10" s="184">
        <f>+M8+'251'!M48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SUM(D28,D21,D16,D10,'251'!D21)</f>
        <v>357141</v>
      </c>
      <c r="E31" s="202">
        <f>SUM(E28,E21,E16,E10,'251'!E21)</f>
        <v>324006</v>
      </c>
      <c r="F31" s="202">
        <f>SUM(F28,F21,F16,F10,'251'!F21)</f>
        <v>210778</v>
      </c>
      <c r="G31" s="202">
        <f>SUM(G28,G21,G16,G10,'251'!G21)</f>
        <v>93228</v>
      </c>
      <c r="H31" s="202">
        <f>SUM(H28,H21,H16,H10,'251'!H21)</f>
        <v>20000</v>
      </c>
      <c r="I31" s="202">
        <f>SUM(I28,I21,I16,I10,'251'!I21)</f>
        <v>0</v>
      </c>
      <c r="J31" s="202">
        <f>SUM(J28,J21,J16,J10,'251'!J21)</f>
        <v>0</v>
      </c>
      <c r="K31" s="202">
        <f>SUM(K28,K21,K16,K10,'251'!K21)</f>
        <v>0</v>
      </c>
      <c r="L31" s="202">
        <f>SUM(L28,L21,L16,L10,'251'!L21)</f>
        <v>0</v>
      </c>
      <c r="M31" s="202">
        <f>SUM(M28,M21,M16,M10,'251'!M21)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0</v>
      </c>
      <c r="E42" s="193">
        <v>0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357141</v>
      </c>
      <c r="E43" s="193">
        <v>324006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357141</v>
      </c>
      <c r="E44" s="193">
        <f>SUM(E42:E43)</f>
        <v>324006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357141</v>
      </c>
      <c r="E46" s="190">
        <f>E31</f>
        <v>324006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357141</v>
      </c>
      <c r="E48" s="197">
        <f>SUM(E46:E47)</f>
        <v>324006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2017-18.xls]251b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17"/>
  <pageSetup fitToHeight="1" fitToWidth="1" horizontalDpi="600" verticalDpi="600" orientation="landscape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305</v>
      </c>
    </row>
    <row r="2" spans="5:13" ht="15.75">
      <c r="E2" s="1" t="s">
        <v>2</v>
      </c>
      <c r="F2" s="2"/>
      <c r="G2" s="2"/>
      <c r="L2" s="19"/>
      <c r="M2" s="243" t="s">
        <v>323</v>
      </c>
    </row>
    <row r="3" spans="5:13" ht="15">
      <c r="E3" s="2" t="str">
        <f>Form!E3</f>
        <v>July 1, 2017 - June 30, 2018</v>
      </c>
      <c r="F3" s="2"/>
      <c r="G3" s="2"/>
      <c r="L3" s="19"/>
      <c r="M3" s="245" t="s">
        <v>324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231</v>
      </c>
    </row>
    <row r="2" spans="5:13" ht="15.75">
      <c r="E2" s="41" t="s">
        <v>2</v>
      </c>
      <c r="F2" s="28"/>
      <c r="G2" s="28"/>
      <c r="H2" s="42"/>
      <c r="K2" s="85"/>
      <c r="L2" s="86"/>
      <c r="M2" s="243" t="s">
        <v>323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245" t="s">
        <v>324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+D8+'253'!D48</f>
        <v>0</v>
      </c>
      <c r="E10" s="184">
        <f>+E8+'253'!E48</f>
        <v>0</v>
      </c>
      <c r="F10" s="184">
        <f>+F8+'253'!F48</f>
        <v>0</v>
      </c>
      <c r="G10" s="184">
        <f>+G8+'253'!G48</f>
        <v>0</v>
      </c>
      <c r="H10" s="184">
        <f>+H8+'253'!H48</f>
        <v>0</v>
      </c>
      <c r="I10" s="184">
        <f>+I8+'253'!I48</f>
        <v>0</v>
      </c>
      <c r="J10" s="184">
        <f>+J8+'253'!J48</f>
        <v>0</v>
      </c>
      <c r="K10" s="184">
        <f>+K8+'253'!K48</f>
        <v>0</v>
      </c>
      <c r="L10" s="184">
        <f>+L8+'253'!L48</f>
        <v>0</v>
      </c>
      <c r="M10" s="184">
        <f>+M8+'253'!M48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SUM(D28,D21,D16,D10,'253'!D21)</f>
        <v>0</v>
      </c>
      <c r="E31" s="202">
        <f>SUM(E28,E21,E16,E10,'253'!E21)</f>
        <v>0</v>
      </c>
      <c r="F31" s="202">
        <f>SUM(F28,F21,F16,F10,'253'!F21)</f>
        <v>0</v>
      </c>
      <c r="G31" s="202">
        <f>SUM(G28,G21,G16,G10,'253'!G21)</f>
        <v>0</v>
      </c>
      <c r="H31" s="202">
        <f>SUM(H28,H21,H16,H10,'253'!H21)</f>
        <v>0</v>
      </c>
      <c r="I31" s="202">
        <f>SUM(I28,I21,I16,I10,'253'!I21)</f>
        <v>0</v>
      </c>
      <c r="J31" s="202">
        <f>SUM(J28,J21,J16,J10,'253'!J21)</f>
        <v>0</v>
      </c>
      <c r="K31" s="202">
        <f>SUM(K28,K21,K16,K10,'253'!K21)</f>
        <v>0</v>
      </c>
      <c r="L31" s="202">
        <f>SUM(L28,L21,L16,L10,'253'!L21)</f>
        <v>0</v>
      </c>
      <c r="M31" s="202">
        <f>SUM(M28,M21,M16,M10,'253'!M21)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2017-18.xls]253b</v>
      </c>
    </row>
  </sheetData>
  <sheetProtection/>
  <mergeCells count="2">
    <mergeCell ref="D36:D37"/>
    <mergeCell ref="E36:E37"/>
  </mergeCells>
  <printOptions horizontalCentered="1" verticalCentered="1"/>
  <pageMargins left="0.25" right="0.2" top="0" bottom="0" header="0.5" footer="0.5"/>
  <pageSetup fitToHeight="1" fitToWidth="1" horizontalDpi="600" verticalDpi="600" orientation="landscape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220</v>
      </c>
    </row>
    <row r="2" spans="5:13" ht="15.75">
      <c r="E2" s="1" t="s">
        <v>2</v>
      </c>
      <c r="F2" s="2"/>
      <c r="G2" s="2"/>
      <c r="K2" s="19"/>
      <c r="L2" s="19"/>
      <c r="M2" s="18" t="s">
        <v>325</v>
      </c>
    </row>
    <row r="3" spans="5:13" ht="15">
      <c r="E3" s="2" t="str">
        <f>Form!E3</f>
        <v>July 1, 2017 - June 30, 2018</v>
      </c>
      <c r="F3" s="2"/>
      <c r="G3" s="2"/>
      <c r="K3" s="20"/>
      <c r="L3" s="19"/>
      <c r="M3" s="246" t="s">
        <v>326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2017-18.xls]255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306</v>
      </c>
    </row>
    <row r="2" spans="5:13" ht="15.75">
      <c r="E2" s="41" t="s">
        <v>2</v>
      </c>
      <c r="F2" s="28"/>
      <c r="G2" s="28"/>
      <c r="H2" s="42"/>
      <c r="K2" s="85"/>
      <c r="L2" s="86"/>
      <c r="M2" s="18" t="s">
        <v>325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246" t="s">
        <v>326</v>
      </c>
    </row>
    <row r="4" spans="1:12" ht="12" customHeight="1">
      <c r="A4" s="16" t="s">
        <v>4</v>
      </c>
      <c r="B4" s="128"/>
      <c r="C4" s="16"/>
      <c r="D4" s="16"/>
      <c r="E4" s="2"/>
      <c r="F4" s="2"/>
      <c r="G4" s="2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+D8+'255'!D48</f>
        <v>0</v>
      </c>
      <c r="E10" s="184">
        <f>+E8+'255'!E48</f>
        <v>0</v>
      </c>
      <c r="F10" s="184">
        <f>+F8+'255'!F48</f>
        <v>0</v>
      </c>
      <c r="G10" s="184">
        <f>+G8+'255'!G48</f>
        <v>0</v>
      </c>
      <c r="H10" s="184">
        <f>+H8+'255'!H48</f>
        <v>0</v>
      </c>
      <c r="I10" s="184">
        <f>+I8+'255'!I48</f>
        <v>0</v>
      </c>
      <c r="J10" s="184">
        <f>+J8+'255'!J48</f>
        <v>0</v>
      </c>
      <c r="K10" s="184">
        <f>+K8+'255'!K48</f>
        <v>0</v>
      </c>
      <c r="L10" s="184">
        <f>+L8+'255'!L48</f>
        <v>0</v>
      </c>
      <c r="M10" s="184">
        <f>+M8+'255'!M48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SUM(D28,D21,D16,D10,'255'!D21)</f>
        <v>0</v>
      </c>
      <c r="E31" s="202">
        <f>SUM(E28,E21,E16,E10,'255'!E21)</f>
        <v>0</v>
      </c>
      <c r="F31" s="202">
        <f>SUM(F28,F21,F16,F10,'255'!F21)</f>
        <v>0</v>
      </c>
      <c r="G31" s="202">
        <f>SUM(G28,G21,G16,G10,'255'!G21)</f>
        <v>0</v>
      </c>
      <c r="H31" s="202">
        <f>SUM(H28,H21,H16,H10,'255'!H21)</f>
        <v>0</v>
      </c>
      <c r="I31" s="202">
        <f>SUM(I28,I21,I16,I10,'255'!I21)</f>
        <v>0</v>
      </c>
      <c r="J31" s="202">
        <f>SUM(J28,J21,J16,J10,'255'!J21)</f>
        <v>0</v>
      </c>
      <c r="K31" s="202">
        <f>SUM(K28,K21,K16,K10,'255'!K21)</f>
        <v>0</v>
      </c>
      <c r="L31" s="202">
        <f>SUM(L28,L21,L16,L10,'255'!L21)</f>
        <v>0</v>
      </c>
      <c r="M31" s="202">
        <f>SUM(M28,M21,M16,M10,'255'!M21)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2017-18.xls]255b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232</v>
      </c>
    </row>
    <row r="2" spans="5:13" ht="15.75">
      <c r="E2" s="1" t="s">
        <v>2</v>
      </c>
      <c r="F2" s="2"/>
      <c r="G2" s="2"/>
      <c r="L2" s="19"/>
      <c r="M2" s="245" t="s">
        <v>330</v>
      </c>
    </row>
    <row r="3" spans="5:13" ht="15">
      <c r="E3" s="2" t="str">
        <f>Form!E3</f>
        <v>July 1, 2017 - June 30, 2018</v>
      </c>
      <c r="F3" s="2"/>
      <c r="G3" s="2"/>
      <c r="L3" s="20"/>
      <c r="M3" s="245" t="s">
        <v>138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>
        <v>536815</v>
      </c>
      <c r="E12" s="98">
        <f t="shared" si="0"/>
        <v>309034</v>
      </c>
      <c r="F12" s="99">
        <f>208529+1</f>
        <v>208530</v>
      </c>
      <c r="G12" s="100">
        <f>23605+15952+58528+2419</f>
        <v>100504</v>
      </c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536815</v>
      </c>
      <c r="E21" s="200">
        <f t="shared" si="1"/>
        <v>309034</v>
      </c>
      <c r="F21" s="200">
        <f t="shared" si="1"/>
        <v>208530</v>
      </c>
      <c r="G21" s="200">
        <f t="shared" si="1"/>
        <v>100504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2017-18.xls]257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2" width="11.10546875" style="0" customWidth="1"/>
    <col min="13" max="13" width="11.88671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221</v>
      </c>
    </row>
    <row r="2" spans="5:13" ht="15.75">
      <c r="E2" s="41" t="s">
        <v>2</v>
      </c>
      <c r="F2" s="28"/>
      <c r="G2" s="28"/>
      <c r="H2" s="42"/>
      <c r="K2" s="85"/>
      <c r="L2" s="86"/>
      <c r="M2" s="245" t="s">
        <v>330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245" t="s">
        <v>138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+D8+'257'!D48</f>
        <v>0</v>
      </c>
      <c r="E10" s="184">
        <f>+E8+'257'!E48</f>
        <v>0</v>
      </c>
      <c r="F10" s="184">
        <f>+F8+'257'!F48</f>
        <v>0</v>
      </c>
      <c r="G10" s="184">
        <f>+G8+'257'!G48</f>
        <v>0</v>
      </c>
      <c r="H10" s="184">
        <f>+H8+'257'!H48</f>
        <v>0</v>
      </c>
      <c r="I10" s="184">
        <f>+I8+'257'!I48</f>
        <v>0</v>
      </c>
      <c r="J10" s="184">
        <f>+J8+'257'!J48</f>
        <v>0</v>
      </c>
      <c r="K10" s="184">
        <f>+K8+'257'!K48</f>
        <v>0</v>
      </c>
      <c r="L10" s="184">
        <f>+L8+'257'!L48</f>
        <v>0</v>
      </c>
      <c r="M10" s="184">
        <f>+M8+'257'!M48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SUM(D28,D21,D16,D10,'257'!D21)</f>
        <v>536815</v>
      </c>
      <c r="E31" s="202">
        <f>SUM(E28,E21,E16,E10,'257'!E21)</f>
        <v>309034</v>
      </c>
      <c r="F31" s="202">
        <f>SUM(F28,F21,F16,F10,'257'!F21)</f>
        <v>208530</v>
      </c>
      <c r="G31" s="202">
        <f>SUM(G28,G21,G16,G10,'257'!G21)</f>
        <v>100504</v>
      </c>
      <c r="H31" s="202">
        <f>SUM(H28,H21,H16,H10,'257'!H21)</f>
        <v>0</v>
      </c>
      <c r="I31" s="202">
        <f>SUM(I28,I21,I16,I10,'257'!I21)</f>
        <v>0</v>
      </c>
      <c r="J31" s="202">
        <f>SUM(J28,J21,J16,J10,'257'!J21)</f>
        <v>0</v>
      </c>
      <c r="K31" s="202">
        <f>SUM(K28,K21,K16,K10,'257'!K21)</f>
        <v>0</v>
      </c>
      <c r="L31" s="202">
        <f>SUM(L28,L21,L16,L10,'257'!L21)</f>
        <v>0</v>
      </c>
      <c r="M31" s="202">
        <f>SUM(M28,M21,M16,M10,'257'!M21)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0</v>
      </c>
      <c r="E42" s="193">
        <v>0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536815</v>
      </c>
      <c r="E43" s="193">
        <v>309034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536815</v>
      </c>
      <c r="E44" s="193">
        <f>SUM(E42:E43)</f>
        <v>309034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536815</v>
      </c>
      <c r="E46" s="190">
        <f>E31</f>
        <v>309034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536815</v>
      </c>
      <c r="E48" s="197">
        <f>SUM(E46:E47)</f>
        <v>309034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2017-18.xls]257b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9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307</v>
      </c>
    </row>
    <row r="2" spans="5:13" ht="15.75">
      <c r="E2" s="1" t="s">
        <v>2</v>
      </c>
      <c r="F2" s="2"/>
      <c r="G2" s="2"/>
      <c r="L2" s="19"/>
      <c r="M2" s="245" t="s">
        <v>331</v>
      </c>
    </row>
    <row r="3" spans="5:13" ht="15">
      <c r="E3" s="2" t="str">
        <f>Form!E3</f>
        <v>July 1, 2017 - June 30, 2018</v>
      </c>
      <c r="F3" s="2"/>
      <c r="G3" s="2"/>
      <c r="L3" s="20"/>
      <c r="M3" s="245" t="s">
        <v>139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>
        <v>21386</v>
      </c>
      <c r="E13" s="98">
        <f t="shared" si="0"/>
        <v>21412</v>
      </c>
      <c r="F13" s="99">
        <v>13736</v>
      </c>
      <c r="G13" s="100">
        <f>1555+1051+4911+159</f>
        <v>7676</v>
      </c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21386</v>
      </c>
      <c r="E21" s="200">
        <f t="shared" si="1"/>
        <v>21412</v>
      </c>
      <c r="F21" s="200">
        <f t="shared" si="1"/>
        <v>13736</v>
      </c>
      <c r="G21" s="200">
        <f t="shared" si="1"/>
        <v>7676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2017-18.xls]258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49"/>
  <sheetViews>
    <sheetView tabSelected="1"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6.77734375" style="0" customWidth="1"/>
    <col min="4" max="7" width="11.77734375" style="0" customWidth="1"/>
    <col min="8" max="12" width="9.77734375" style="0" customWidth="1"/>
    <col min="13" max="13" width="10.77734375" style="0" customWidth="1"/>
    <col min="14" max="14" width="9.77734375" style="0" customWidth="1"/>
    <col min="15" max="15" width="11.21484375" style="0" hidden="1" customWidth="1"/>
    <col min="16" max="16" width="0" style="0" hidden="1" customWidth="1"/>
    <col min="17" max="17" width="10.99609375" style="0" hidden="1" customWidth="1"/>
    <col min="18" max="32" width="0" style="0" hidden="1" customWidth="1"/>
  </cols>
  <sheetData>
    <row r="1" spans="1:32" ht="15.75">
      <c r="A1" s="244" t="s">
        <v>0</v>
      </c>
      <c r="B1" s="16"/>
      <c r="C1" s="143"/>
      <c r="E1" s="1" t="s">
        <v>1</v>
      </c>
      <c r="F1" s="2"/>
      <c r="G1" s="2"/>
      <c r="M1" s="29" t="s">
        <v>226</v>
      </c>
      <c r="O1">
        <v>1614912</v>
      </c>
      <c r="S1" s="413">
        <v>113273.18</v>
      </c>
      <c r="T1" s="413">
        <v>122522.84</v>
      </c>
      <c r="U1" s="413">
        <v>34543.7</v>
      </c>
      <c r="V1" s="413">
        <v>70576.99</v>
      </c>
      <c r="W1" s="413">
        <v>24908.23</v>
      </c>
      <c r="X1" s="413">
        <v>5520.24</v>
      </c>
      <c r="Y1" s="413">
        <v>6712.5</v>
      </c>
      <c r="Z1" s="413">
        <v>110772.55</v>
      </c>
      <c r="AA1" s="413">
        <v>181940.8</v>
      </c>
      <c r="AB1" s="413">
        <v>266559.39</v>
      </c>
      <c r="AC1" s="413">
        <v>163924.45</v>
      </c>
      <c r="AD1" s="413">
        <v>447741.87</v>
      </c>
      <c r="AE1" s="413">
        <v>65914.88</v>
      </c>
      <c r="AF1">
        <f>SUM(S1:AE1)</f>
        <v>1614911.6199999996</v>
      </c>
    </row>
    <row r="2" spans="5:31" ht="15.75">
      <c r="E2" s="1" t="s">
        <v>2</v>
      </c>
      <c r="F2" s="2"/>
      <c r="G2" s="2"/>
      <c r="K2" s="17"/>
      <c r="L2" s="17"/>
      <c r="M2" s="18" t="s">
        <v>121</v>
      </c>
      <c r="S2" s="413" t="s">
        <v>341</v>
      </c>
      <c r="T2" s="413" t="s">
        <v>342</v>
      </c>
      <c r="U2" s="413" t="s">
        <v>343</v>
      </c>
      <c r="V2" s="413" t="s">
        <v>344</v>
      </c>
      <c r="W2" s="413" t="s">
        <v>345</v>
      </c>
      <c r="X2" s="413" t="s">
        <v>346</v>
      </c>
      <c r="Y2" s="413" t="s">
        <v>347</v>
      </c>
      <c r="Z2" s="413" t="s">
        <v>348</v>
      </c>
      <c r="AA2" s="413" t="s">
        <v>353</v>
      </c>
      <c r="AB2" s="413" t="s">
        <v>349</v>
      </c>
      <c r="AC2" s="413" t="s">
        <v>350</v>
      </c>
      <c r="AD2" s="413" t="s">
        <v>351</v>
      </c>
      <c r="AE2" s="413" t="s">
        <v>352</v>
      </c>
    </row>
    <row r="3" spans="5:17" ht="15">
      <c r="E3" s="2" t="str">
        <f>Form!E3</f>
        <v>July 1, 2017 - June 30, 2018</v>
      </c>
      <c r="F3" s="2"/>
      <c r="G3" s="2"/>
      <c r="M3" s="25" t="s">
        <v>122</v>
      </c>
      <c r="O3">
        <v>129263.79</v>
      </c>
      <c r="P3">
        <v>26615.4</v>
      </c>
      <c r="Q3">
        <v>100931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7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  <c r="O6" s="405" t="s">
        <v>338</v>
      </c>
      <c r="P6" s="405" t="s">
        <v>339</v>
      </c>
      <c r="Q6" s="405" t="s">
        <v>340</v>
      </c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7" ht="12" customHeight="1">
      <c r="A8" s="37" t="s">
        <v>32</v>
      </c>
      <c r="B8" s="38" t="s">
        <v>33</v>
      </c>
      <c r="C8" s="11" t="s">
        <v>34</v>
      </c>
      <c r="D8" s="427">
        <v>3889711.4200000004</v>
      </c>
      <c r="E8" s="93">
        <f aca="true" t="shared" si="0" ref="E8:E19">SUM(F8:M8)</f>
        <v>4356124.881440675</v>
      </c>
      <c r="F8" s="94">
        <f>(3251029.44-87354.93-129263.79)+(87354.93*0.62)+O8</f>
        <v>3097637.601292333</v>
      </c>
      <c r="G8" s="95">
        <f>+(959107.01-16571.23-26615.4)+(16571.23*0.62)+P8+Q8</f>
        <v>966478.3901483418</v>
      </c>
      <c r="H8" s="408">
        <f>59819</f>
        <v>59819</v>
      </c>
      <c r="I8" s="92">
        <v>192939.89</v>
      </c>
      <c r="J8" s="92">
        <v>39250</v>
      </c>
      <c r="K8" s="92"/>
      <c r="L8" s="92"/>
      <c r="M8" s="92"/>
      <c r="O8" s="406">
        <f>(+S$1/$AF$1)*$O$3</f>
        <v>9066.824692333443</v>
      </c>
      <c r="P8">
        <f>+O8*0.2013</f>
        <v>1825.1518105667221</v>
      </c>
      <c r="Q8" s="411">
        <f>(+F8/+(F$21+F$48)*$Q$3)</f>
        <v>38458.69573777495</v>
      </c>
    </row>
    <row r="9" spans="1:17" ht="12" customHeight="1">
      <c r="A9" s="37" t="s">
        <v>35</v>
      </c>
      <c r="B9" s="38" t="s">
        <v>36</v>
      </c>
      <c r="C9" s="11" t="s">
        <v>37</v>
      </c>
      <c r="D9" s="431">
        <v>2600727.6100000003</v>
      </c>
      <c r="E9" s="98">
        <f t="shared" si="0"/>
        <v>2755736.8289307137</v>
      </c>
      <c r="F9" s="94">
        <f>(2002225.95-87354.93-129263.79)+(87354.93*0.38)+O9</f>
        <v>1828609.3067564063</v>
      </c>
      <c r="G9" s="95">
        <f>+(607339.81-16571.23-26615.4)+(16571.23*0.38)+P9+Q9</f>
        <v>595127.5221743074</v>
      </c>
      <c r="H9" s="409"/>
      <c r="I9" s="97">
        <v>282000</v>
      </c>
      <c r="J9" s="97">
        <v>50000</v>
      </c>
      <c r="K9" s="97"/>
      <c r="L9" s="97"/>
      <c r="M9" s="97"/>
      <c r="O9" s="406">
        <f>(+T$1/$AF$1)*$O$3</f>
        <v>9807.20335640634</v>
      </c>
      <c r="P9">
        <f>+O9*0.2013</f>
        <v>1974.1900356445965</v>
      </c>
      <c r="Q9" s="411">
        <f aca="true" t="shared" si="1" ref="Q9:Q45">(+F9/+(F$21+F$48)*$Q$3)</f>
        <v>22703.084738662867</v>
      </c>
    </row>
    <row r="10" spans="1:17" ht="12" customHeight="1">
      <c r="A10" s="37" t="s">
        <v>38</v>
      </c>
      <c r="B10" s="38" t="s">
        <v>39</v>
      </c>
      <c r="C10" s="11" t="s">
        <v>40</v>
      </c>
      <c r="D10" s="431">
        <v>106024.1</v>
      </c>
      <c r="E10" s="98">
        <f t="shared" si="0"/>
        <v>145895.19449481164</v>
      </c>
      <c r="F10" s="99">
        <v>103773.13</v>
      </c>
      <c r="G10" s="100">
        <f>33833.67+P10+Q10</f>
        <v>35122.06449481164</v>
      </c>
      <c r="H10" s="409"/>
      <c r="I10" s="97">
        <v>5000</v>
      </c>
      <c r="J10" s="97">
        <v>2000</v>
      </c>
      <c r="K10" s="97"/>
      <c r="L10" s="97"/>
      <c r="M10" s="97"/>
      <c r="O10" s="406"/>
      <c r="Q10" s="411">
        <f t="shared" si="1"/>
        <v>1288.3944948116368</v>
      </c>
    </row>
    <row r="11" spans="1:17" ht="12" customHeight="1">
      <c r="A11" s="124" t="s">
        <v>41</v>
      </c>
      <c r="B11" s="38">
        <v>519</v>
      </c>
      <c r="C11" s="11" t="s">
        <v>259</v>
      </c>
      <c r="D11" s="431">
        <v>0</v>
      </c>
      <c r="E11" s="98">
        <f t="shared" si="0"/>
        <v>0</v>
      </c>
      <c r="F11" s="99"/>
      <c r="G11" s="100"/>
      <c r="H11" s="409"/>
      <c r="I11" s="97"/>
      <c r="J11" s="97"/>
      <c r="K11" s="97"/>
      <c r="L11" s="97"/>
      <c r="M11" s="97"/>
      <c r="O11" s="406"/>
      <c r="Q11" s="411">
        <f t="shared" si="1"/>
        <v>0</v>
      </c>
    </row>
    <row r="12" spans="1:17" ht="12" customHeight="1">
      <c r="A12" s="37" t="s">
        <v>43</v>
      </c>
      <c r="B12" s="38" t="s">
        <v>42</v>
      </c>
      <c r="C12" s="11" t="s">
        <v>293</v>
      </c>
      <c r="D12" s="431">
        <v>600076.16</v>
      </c>
      <c r="E12" s="98">
        <f t="shared" si="0"/>
        <v>760485.1765673287</v>
      </c>
      <c r="F12" s="99">
        <f>431360.18+O12</f>
        <v>434125.191736446</v>
      </c>
      <c r="G12" s="100">
        <f>130413.51+P12+Q12</f>
        <v>136359.98483088272</v>
      </c>
      <c r="H12" s="409">
        <v>190000</v>
      </c>
      <c r="I12" s="97"/>
      <c r="J12" s="97"/>
      <c r="K12" s="97"/>
      <c r="L12" s="97"/>
      <c r="M12" s="97"/>
      <c r="O12" s="406">
        <f>(+U$1/$AF$1)*$O$3</f>
        <v>2765.011736445986</v>
      </c>
      <c r="P12">
        <f>+O12*0.2013</f>
        <v>556.596862546577</v>
      </c>
      <c r="Q12" s="411">
        <f t="shared" si="1"/>
        <v>5389.877968336151</v>
      </c>
    </row>
    <row r="13" spans="1:17" ht="12" customHeight="1">
      <c r="A13" s="37" t="s">
        <v>45</v>
      </c>
      <c r="B13" s="38" t="s">
        <v>44</v>
      </c>
      <c r="C13" s="11" t="s">
        <v>294</v>
      </c>
      <c r="D13" s="431">
        <v>80718.68</v>
      </c>
      <c r="E13" s="98">
        <f t="shared" si="0"/>
        <v>76476.15826379541</v>
      </c>
      <c r="F13" s="99">
        <v>57716.46</v>
      </c>
      <c r="G13" s="100">
        <f>18043.12+P13+Q13</f>
        <v>18759.698263795417</v>
      </c>
      <c r="H13" s="409"/>
      <c r="I13" s="97"/>
      <c r="J13" s="97"/>
      <c r="K13" s="97"/>
      <c r="L13" s="97"/>
      <c r="M13" s="97"/>
      <c r="O13" s="406"/>
      <c r="Q13" s="411">
        <f t="shared" si="1"/>
        <v>716.5782637954164</v>
      </c>
    </row>
    <row r="14" spans="1:17" ht="12" customHeight="1">
      <c r="A14" s="37" t="s">
        <v>48</v>
      </c>
      <c r="B14" s="38" t="s">
        <v>46</v>
      </c>
      <c r="C14" s="11" t="s">
        <v>47</v>
      </c>
      <c r="D14" s="431">
        <v>0</v>
      </c>
      <c r="E14" s="98">
        <f t="shared" si="0"/>
        <v>0</v>
      </c>
      <c r="F14" s="99"/>
      <c r="G14" s="100"/>
      <c r="H14" s="409"/>
      <c r="I14" s="97"/>
      <c r="J14" s="97"/>
      <c r="K14" s="97"/>
      <c r="L14" s="97"/>
      <c r="M14" s="97"/>
      <c r="O14" s="406"/>
      <c r="Q14" s="411">
        <f t="shared" si="1"/>
        <v>0</v>
      </c>
    </row>
    <row r="15" spans="1:17" ht="12" customHeight="1">
      <c r="A15" s="37" t="s">
        <v>51</v>
      </c>
      <c r="B15" s="38" t="s">
        <v>49</v>
      </c>
      <c r="C15" s="11" t="s">
        <v>50</v>
      </c>
      <c r="D15" s="431">
        <v>180666.84</v>
      </c>
      <c r="E15" s="98">
        <f t="shared" si="0"/>
        <v>139474.09883888054</v>
      </c>
      <c r="F15" s="99">
        <f>117462.5+O15</f>
        <v>122111.75603432843</v>
      </c>
      <c r="G15" s="100">
        <f>14910.37+P15+Q15</f>
        <v>17362.342804552103</v>
      </c>
      <c r="H15" s="101"/>
      <c r="I15" s="97"/>
      <c r="J15" s="97"/>
      <c r="K15" s="97"/>
      <c r="L15" s="97"/>
      <c r="M15" s="97"/>
      <c r="O15" s="406">
        <f>(+V$1/$AF$1)*$O$3-1000</f>
        <v>4649.256034328431</v>
      </c>
      <c r="P15">
        <f>+O15*0.2013</f>
        <v>935.8952397103133</v>
      </c>
      <c r="Q15" s="411">
        <f t="shared" si="1"/>
        <v>1516.0775648417891</v>
      </c>
    </row>
    <row r="16" spans="1:17" ht="12" customHeight="1">
      <c r="A16" s="37" t="s">
        <v>54</v>
      </c>
      <c r="B16" s="38" t="s">
        <v>52</v>
      </c>
      <c r="C16" s="11" t="s">
        <v>53</v>
      </c>
      <c r="D16" s="431">
        <v>0</v>
      </c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  <c r="O16" s="406"/>
      <c r="Q16" s="411">
        <f t="shared" si="1"/>
        <v>0</v>
      </c>
    </row>
    <row r="17" spans="1:17" ht="12" customHeight="1">
      <c r="A17" s="37" t="s">
        <v>55</v>
      </c>
      <c r="B17" s="38" t="s">
        <v>56</v>
      </c>
      <c r="C17" s="11" t="s">
        <v>57</v>
      </c>
      <c r="D17" s="431">
        <v>0</v>
      </c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  <c r="O17" s="406"/>
      <c r="Q17" s="411">
        <f t="shared" si="1"/>
        <v>0</v>
      </c>
    </row>
    <row r="18" spans="1:17" ht="12" customHeight="1">
      <c r="A18" s="37" t="s">
        <v>58</v>
      </c>
      <c r="B18" s="38" t="s">
        <v>59</v>
      </c>
      <c r="C18" s="11" t="s">
        <v>60</v>
      </c>
      <c r="D18" s="431">
        <v>0</v>
      </c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  <c r="O18" s="406"/>
      <c r="Q18" s="411">
        <f t="shared" si="1"/>
        <v>0</v>
      </c>
    </row>
    <row r="19" spans="1:17" ht="12" customHeight="1">
      <c r="A19" s="37" t="s">
        <v>61</v>
      </c>
      <c r="B19" s="38" t="s">
        <v>62</v>
      </c>
      <c r="C19" s="11" t="s">
        <v>63</v>
      </c>
      <c r="D19" s="431">
        <v>0</v>
      </c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  <c r="O19" s="406"/>
      <c r="Q19" s="411">
        <f t="shared" si="1"/>
        <v>0</v>
      </c>
    </row>
    <row r="20" spans="1:17" ht="12" customHeight="1">
      <c r="A20" s="37" t="s">
        <v>64</v>
      </c>
      <c r="B20" s="11"/>
      <c r="C20" s="11"/>
      <c r="D20" s="435"/>
      <c r="E20" s="199"/>
      <c r="F20" s="218"/>
      <c r="G20" s="219"/>
      <c r="H20" s="220"/>
      <c r="I20" s="199"/>
      <c r="J20" s="199"/>
      <c r="K20" s="199"/>
      <c r="L20" s="199"/>
      <c r="M20" s="199"/>
      <c r="O20" s="406"/>
      <c r="Q20" s="411">
        <f t="shared" si="1"/>
        <v>0</v>
      </c>
    </row>
    <row r="21" spans="1:17" ht="12" customHeight="1">
      <c r="A21" s="37" t="s">
        <v>65</v>
      </c>
      <c r="B21" s="38" t="s">
        <v>11</v>
      </c>
      <c r="C21" s="198" t="s">
        <v>66</v>
      </c>
      <c r="D21" s="436">
        <v>7457924.8100000005</v>
      </c>
      <c r="E21" s="200">
        <f aca="true" t="shared" si="2" ref="D21:M21">SUM(E8:E19)</f>
        <v>8234192.338536205</v>
      </c>
      <c r="F21" s="200">
        <f t="shared" si="2"/>
        <v>5643973.445819514</v>
      </c>
      <c r="G21" s="200">
        <f t="shared" si="2"/>
        <v>1769210.002716691</v>
      </c>
      <c r="H21" s="200">
        <f t="shared" si="2"/>
        <v>249819</v>
      </c>
      <c r="I21" s="200">
        <f t="shared" si="2"/>
        <v>479939.89</v>
      </c>
      <c r="J21" s="200">
        <f t="shared" si="2"/>
        <v>91250</v>
      </c>
      <c r="K21" s="200">
        <f t="shared" si="2"/>
        <v>0</v>
      </c>
      <c r="L21" s="200">
        <f t="shared" si="2"/>
        <v>0</v>
      </c>
      <c r="M21" s="200">
        <f t="shared" si="2"/>
        <v>0</v>
      </c>
      <c r="O21" s="406"/>
      <c r="Q21" s="411"/>
    </row>
    <row r="22" spans="1:17" ht="12" customHeight="1">
      <c r="A22" s="37" t="s">
        <v>67</v>
      </c>
      <c r="B22" s="11"/>
      <c r="C22" s="11"/>
      <c r="D22" s="426"/>
      <c r="E22" s="12"/>
      <c r="F22" s="13"/>
      <c r="G22" s="14"/>
      <c r="H22" s="15"/>
      <c r="I22" s="12"/>
      <c r="J22" s="12"/>
      <c r="K22" s="12"/>
      <c r="L22" s="12"/>
      <c r="M22" s="12"/>
      <c r="O22" s="406"/>
      <c r="Q22" s="411">
        <f t="shared" si="1"/>
        <v>0</v>
      </c>
    </row>
    <row r="23" spans="1:17" ht="12" customHeight="1">
      <c r="A23" s="37" t="s">
        <v>68</v>
      </c>
      <c r="B23" s="38" t="s">
        <v>69</v>
      </c>
      <c r="C23" s="11" t="s">
        <v>70</v>
      </c>
      <c r="D23" s="431">
        <v>424014.08</v>
      </c>
      <c r="E23" s="98">
        <f>SUM(F23:M23)</f>
        <v>410673.7639036914</v>
      </c>
      <c r="F23" s="99">
        <v>318068.25</v>
      </c>
      <c r="G23" s="100">
        <f>88656.54+P23+Q23</f>
        <v>92605.51390369136</v>
      </c>
      <c r="H23" s="101"/>
      <c r="I23" s="97"/>
      <c r="J23" s="97"/>
      <c r="K23" s="97"/>
      <c r="L23" s="97"/>
      <c r="M23" s="97"/>
      <c r="O23" s="406"/>
      <c r="Q23" s="411">
        <f t="shared" si="1"/>
        <v>3948.9739036913643</v>
      </c>
    </row>
    <row r="24" spans="1:17" ht="12" customHeight="1">
      <c r="A24" s="37" t="s">
        <v>71</v>
      </c>
      <c r="B24" s="38" t="s">
        <v>72</v>
      </c>
      <c r="C24" s="11" t="s">
        <v>295</v>
      </c>
      <c r="D24" s="431">
        <v>78618.45</v>
      </c>
      <c r="E24" s="98">
        <f>SUM(F24:M24)</f>
        <v>86029.44581443792</v>
      </c>
      <c r="F24" s="99">
        <v>66275.73</v>
      </c>
      <c r="G24" s="100">
        <f>18930.87+P24+Q24</f>
        <v>19753.71581443792</v>
      </c>
      <c r="H24" s="101"/>
      <c r="I24" s="97"/>
      <c r="J24" s="97"/>
      <c r="K24" s="97"/>
      <c r="L24" s="97"/>
      <c r="M24" s="97"/>
      <c r="O24" s="406"/>
      <c r="Q24" s="411">
        <f t="shared" si="1"/>
        <v>822.8458144379227</v>
      </c>
    </row>
    <row r="25" spans="1:17" ht="12" customHeight="1">
      <c r="A25" s="37" t="s">
        <v>73</v>
      </c>
      <c r="B25" s="38"/>
      <c r="C25" s="11"/>
      <c r="D25" s="434"/>
      <c r="E25" s="102"/>
      <c r="F25" s="103"/>
      <c r="G25" s="104"/>
      <c r="H25" s="105"/>
      <c r="I25" s="102"/>
      <c r="J25" s="102"/>
      <c r="K25" s="102"/>
      <c r="L25" s="102"/>
      <c r="M25" s="102"/>
      <c r="O25" s="406"/>
      <c r="Q25" s="411">
        <f t="shared" si="1"/>
        <v>0</v>
      </c>
    </row>
    <row r="26" spans="1:17" ht="12" customHeight="1">
      <c r="A26" s="37" t="s">
        <v>74</v>
      </c>
      <c r="B26" s="38" t="s">
        <v>75</v>
      </c>
      <c r="C26" s="11" t="s">
        <v>76</v>
      </c>
      <c r="D26" s="431">
        <v>26600.65</v>
      </c>
      <c r="E26" s="98">
        <f>SUM(F26:M26)</f>
        <v>39800.37774614205</v>
      </c>
      <c r="F26" s="99">
        <v>500</v>
      </c>
      <c r="G26" s="100">
        <f>100.65+P26+Q26</f>
        <v>106.85774614204871</v>
      </c>
      <c r="H26" s="409">
        <v>2500</v>
      </c>
      <c r="I26" s="97">
        <v>36693.52</v>
      </c>
      <c r="J26" s="97"/>
      <c r="K26" s="97"/>
      <c r="L26" s="97"/>
      <c r="M26" s="97"/>
      <c r="O26" s="406"/>
      <c r="Q26" s="411">
        <f t="shared" si="1"/>
        <v>6.207746142048702</v>
      </c>
    </row>
    <row r="27" spans="1:17" ht="12" customHeight="1">
      <c r="A27" s="37" t="s">
        <v>77</v>
      </c>
      <c r="B27" s="38" t="s">
        <v>78</v>
      </c>
      <c r="C27" s="11" t="s">
        <v>79</v>
      </c>
      <c r="D27" s="431">
        <v>175517.48</v>
      </c>
      <c r="E27" s="98">
        <f>SUM(F27:M27)</f>
        <v>228682.66304259424</v>
      </c>
      <c r="F27" s="99">
        <v>171251.61</v>
      </c>
      <c r="G27" s="100">
        <f>53804.88+P27+Q27</f>
        <v>55931.053042594256</v>
      </c>
      <c r="H27" s="409"/>
      <c r="I27" s="97"/>
      <c r="J27" s="97">
        <v>1500</v>
      </c>
      <c r="K27" s="97"/>
      <c r="L27" s="97"/>
      <c r="M27" s="97"/>
      <c r="O27" s="406"/>
      <c r="Q27" s="411">
        <f t="shared" si="1"/>
        <v>2126.1730425942574</v>
      </c>
    </row>
    <row r="28" spans="1:17" ht="12" customHeight="1">
      <c r="A28" s="37" t="s">
        <v>80</v>
      </c>
      <c r="B28" s="38">
        <v>623</v>
      </c>
      <c r="C28" s="11" t="s">
        <v>264</v>
      </c>
      <c r="D28" s="431">
        <v>15000</v>
      </c>
      <c r="E28" s="98">
        <f>SUM(F28:M28)</f>
        <v>0</v>
      </c>
      <c r="F28" s="99"/>
      <c r="G28" s="100"/>
      <c r="H28" s="409"/>
      <c r="I28" s="97"/>
      <c r="J28" s="97"/>
      <c r="K28" s="97"/>
      <c r="L28" s="97"/>
      <c r="M28" s="97"/>
      <c r="O28" s="406"/>
      <c r="Q28" s="411">
        <f t="shared" si="1"/>
        <v>0</v>
      </c>
    </row>
    <row r="29" spans="1:17" ht="12" customHeight="1">
      <c r="A29" s="37" t="s">
        <v>81</v>
      </c>
      <c r="B29" s="38" t="s">
        <v>82</v>
      </c>
      <c r="C29" s="11" t="s">
        <v>83</v>
      </c>
      <c r="D29" s="431">
        <v>56105.369999999995</v>
      </c>
      <c r="E29" s="98">
        <f>SUM(F29:M29)</f>
        <v>86838.9205598773</v>
      </c>
      <c r="F29" s="99">
        <f>5000+O29</f>
        <v>5200</v>
      </c>
      <c r="G29" s="100">
        <f>1006.5+P29+Q29</f>
        <v>1111.3205598773066</v>
      </c>
      <c r="H29" s="409">
        <v>30000</v>
      </c>
      <c r="I29" s="97">
        <v>7500</v>
      </c>
      <c r="J29" s="97"/>
      <c r="K29" s="97"/>
      <c r="L29" s="97">
        <v>43027.6</v>
      </c>
      <c r="M29" s="97"/>
      <c r="O29" s="406">
        <v>200</v>
      </c>
      <c r="P29">
        <f>+O29*0.2013</f>
        <v>40.26</v>
      </c>
      <c r="Q29" s="411">
        <f t="shared" si="1"/>
        <v>64.5605598773065</v>
      </c>
    </row>
    <row r="30" spans="1:17" ht="12" customHeight="1">
      <c r="A30" s="37" t="s">
        <v>84</v>
      </c>
      <c r="B30" s="38" t="s">
        <v>85</v>
      </c>
      <c r="C30" s="11" t="s">
        <v>86</v>
      </c>
      <c r="D30" s="431">
        <v>385093.20999999996</v>
      </c>
      <c r="E30" s="98">
        <f>SUM(F30:M30)</f>
        <v>150791.2064507455</v>
      </c>
      <c r="F30" s="99">
        <f>114371+O30</f>
        <v>118945.84</v>
      </c>
      <c r="G30" s="100">
        <f>29447.68+P30+Q30</f>
        <v>31845.366450745485</v>
      </c>
      <c r="H30" s="409"/>
      <c r="I30" s="97"/>
      <c r="J30" s="97"/>
      <c r="K30" s="97"/>
      <c r="L30" s="97"/>
      <c r="M30" s="97"/>
      <c r="O30" s="406">
        <v>4574.84</v>
      </c>
      <c r="P30">
        <f>+O30*0.2013</f>
        <v>920.915292</v>
      </c>
      <c r="Q30" s="411">
        <f t="shared" si="1"/>
        <v>1476.7711587454844</v>
      </c>
    </row>
    <row r="31" spans="1:17" ht="12" customHeight="1">
      <c r="A31" s="37" t="s">
        <v>87</v>
      </c>
      <c r="B31" s="38"/>
      <c r="C31" s="11"/>
      <c r="D31" s="434"/>
      <c r="E31" s="102"/>
      <c r="F31" s="103"/>
      <c r="G31" s="104"/>
      <c r="H31" s="410"/>
      <c r="I31" s="102"/>
      <c r="J31" s="102"/>
      <c r="K31" s="102"/>
      <c r="L31" s="102"/>
      <c r="M31" s="102"/>
      <c r="O31" s="406"/>
      <c r="Q31" s="411">
        <f t="shared" si="1"/>
        <v>0</v>
      </c>
    </row>
    <row r="32" spans="1:17" ht="12" customHeight="1">
      <c r="A32" s="37" t="s">
        <v>88</v>
      </c>
      <c r="B32" s="38" t="s">
        <v>89</v>
      </c>
      <c r="C32" s="11" t="s">
        <v>90</v>
      </c>
      <c r="D32" s="431">
        <v>1075671.43</v>
      </c>
      <c r="E32" s="98">
        <f>SUM(F32:M32)</f>
        <v>920061.9471210866</v>
      </c>
      <c r="F32" s="99">
        <f>681216.5+O32</f>
        <v>695779.7473457786</v>
      </c>
      <c r="G32" s="100">
        <f>212712.17+P32+Q32</f>
        <v>224282.199775308</v>
      </c>
      <c r="H32" s="409"/>
      <c r="I32" s="97"/>
      <c r="J32" s="97"/>
      <c r="K32" s="97"/>
      <c r="L32" s="97"/>
      <c r="M32" s="97"/>
      <c r="O32" s="406">
        <f>(+AA$1/$AF$1)*$O$3</f>
        <v>14563.247345778589</v>
      </c>
      <c r="P32">
        <f>+O32*0.2013</f>
        <v>2931.58169070523</v>
      </c>
      <c r="Q32" s="411">
        <f t="shared" si="1"/>
        <v>8638.448084602756</v>
      </c>
    </row>
    <row r="33" spans="1:17" ht="8.25" customHeight="1">
      <c r="A33" s="37" t="s">
        <v>91</v>
      </c>
      <c r="B33" s="38"/>
      <c r="C33" s="11"/>
      <c r="D33" s="434"/>
      <c r="E33" s="102"/>
      <c r="F33" s="103"/>
      <c r="G33" s="104"/>
      <c r="H33" s="410"/>
      <c r="I33" s="102"/>
      <c r="J33" s="102"/>
      <c r="K33" s="102"/>
      <c r="L33" s="102"/>
      <c r="M33" s="102"/>
      <c r="O33" s="406"/>
      <c r="Q33" s="411">
        <f t="shared" si="1"/>
        <v>0</v>
      </c>
    </row>
    <row r="34" spans="1:17" ht="12" customHeight="1">
      <c r="A34" s="37" t="s">
        <v>92</v>
      </c>
      <c r="B34" s="38" t="s">
        <v>93</v>
      </c>
      <c r="C34" s="11" t="s">
        <v>94</v>
      </c>
      <c r="D34" s="431">
        <v>0</v>
      </c>
      <c r="E34" s="98">
        <f aca="true" t="shared" si="3" ref="E34:E41">SUM(F34:M34)</f>
        <v>284410.1883636394</v>
      </c>
      <c r="F34" s="99">
        <f>102000+O34</f>
        <v>110866.66456766501</v>
      </c>
      <c r="G34" s="100">
        <f>33382.2+P34+Q34</f>
        <v>36543.523795974426</v>
      </c>
      <c r="H34" s="409">
        <v>101000</v>
      </c>
      <c r="I34" s="97">
        <v>18500</v>
      </c>
      <c r="J34" s="97">
        <v>17500</v>
      </c>
      <c r="K34" s="97"/>
      <c r="L34" s="97"/>
      <c r="M34" s="97"/>
      <c r="O34" s="406">
        <f>(+Z$1/$AF$1)*$O$3</f>
        <v>8866.664567665011</v>
      </c>
      <c r="P34">
        <f>+O34*0.2013</f>
        <v>1784.8595774709668</v>
      </c>
      <c r="Q34" s="411">
        <f t="shared" si="1"/>
        <v>1376.46421850346</v>
      </c>
    </row>
    <row r="35" spans="1:17" ht="12" customHeight="1">
      <c r="A35" s="37" t="s">
        <v>95</v>
      </c>
      <c r="B35" s="38" t="s">
        <v>96</v>
      </c>
      <c r="C35" s="11" t="s">
        <v>97</v>
      </c>
      <c r="D35" s="431">
        <v>0</v>
      </c>
      <c r="E35" s="98">
        <f t="shared" si="3"/>
        <v>0</v>
      </c>
      <c r="F35" s="99"/>
      <c r="G35" s="100"/>
      <c r="H35" s="409"/>
      <c r="I35" s="97"/>
      <c r="J35" s="97"/>
      <c r="K35" s="97"/>
      <c r="L35" s="97"/>
      <c r="M35" s="97"/>
      <c r="O35" s="406"/>
      <c r="Q35" s="411">
        <f t="shared" si="1"/>
        <v>0</v>
      </c>
    </row>
    <row r="36" spans="1:17" ht="12" customHeight="1">
      <c r="A36" s="37" t="s">
        <v>98</v>
      </c>
      <c r="B36" s="38">
        <v>656</v>
      </c>
      <c r="C36" s="11" t="s">
        <v>265</v>
      </c>
      <c r="D36" s="431">
        <v>0</v>
      </c>
      <c r="E36" s="98">
        <f t="shared" si="3"/>
        <v>0</v>
      </c>
      <c r="F36" s="99"/>
      <c r="G36" s="100"/>
      <c r="H36" s="409"/>
      <c r="I36" s="97"/>
      <c r="J36" s="97"/>
      <c r="K36" s="97"/>
      <c r="L36" s="97"/>
      <c r="M36" s="97"/>
      <c r="O36" s="406"/>
      <c r="Q36" s="411">
        <f t="shared" si="1"/>
        <v>0</v>
      </c>
    </row>
    <row r="37" spans="1:17" ht="12" customHeight="1">
      <c r="A37" s="37" t="s">
        <v>99</v>
      </c>
      <c r="B37" s="38" t="s">
        <v>100</v>
      </c>
      <c r="C37" s="11" t="s">
        <v>101</v>
      </c>
      <c r="D37" s="431">
        <v>785468.1</v>
      </c>
      <c r="E37" s="98">
        <f t="shared" si="3"/>
        <v>966419.107294921</v>
      </c>
      <c r="F37" s="99">
        <f>256628.6+O37</f>
        <v>277965.0475088043</v>
      </c>
      <c r="G37" s="100">
        <f>88038.96+P37+Q37</f>
        <v>95785.05978611665</v>
      </c>
      <c r="H37" s="409">
        <v>505569</v>
      </c>
      <c r="I37" s="97">
        <v>75000</v>
      </c>
      <c r="J37" s="97"/>
      <c r="K37" s="97"/>
      <c r="L37" s="97">
        <v>12100</v>
      </c>
      <c r="M37" s="97"/>
      <c r="O37" s="406">
        <f>(+AB$1/$AF$1)*$O$3</f>
        <v>21336.447508804293</v>
      </c>
      <c r="P37">
        <f>+O37*0.2013</f>
        <v>4295.026883522304</v>
      </c>
      <c r="Q37" s="411">
        <f t="shared" si="1"/>
        <v>3451.072902594328</v>
      </c>
    </row>
    <row r="38" spans="1:17" ht="12" customHeight="1">
      <c r="A38" s="37" t="s">
        <v>102</v>
      </c>
      <c r="B38" s="38">
        <v>663</v>
      </c>
      <c r="C38" s="11" t="s">
        <v>281</v>
      </c>
      <c r="D38" s="431">
        <v>0</v>
      </c>
      <c r="E38" s="98">
        <f t="shared" si="3"/>
        <v>0</v>
      </c>
      <c r="F38" s="99"/>
      <c r="G38" s="100"/>
      <c r="H38" s="409"/>
      <c r="I38" s="97"/>
      <c r="J38" s="97"/>
      <c r="K38" s="97"/>
      <c r="L38" s="97"/>
      <c r="M38" s="97"/>
      <c r="O38" s="406"/>
      <c r="Q38" s="411">
        <f t="shared" si="1"/>
        <v>0</v>
      </c>
    </row>
    <row r="39" spans="1:17" ht="12" customHeight="1">
      <c r="A39" s="37" t="s">
        <v>104</v>
      </c>
      <c r="B39" s="38" t="s">
        <v>103</v>
      </c>
      <c r="C39" s="11" t="s">
        <v>266</v>
      </c>
      <c r="D39" s="431">
        <v>413570.79000000004</v>
      </c>
      <c r="E39" s="98">
        <f t="shared" si="3"/>
        <v>338820.3918618416</v>
      </c>
      <c r="F39" s="99">
        <f>110519.2+O39</f>
        <v>123640.34880978162</v>
      </c>
      <c r="G39" s="100">
        <f>47203.7+P39+Q39</f>
        <v>51380.04305206</v>
      </c>
      <c r="H39" s="409">
        <f>85000+800</f>
        <v>85800</v>
      </c>
      <c r="I39" s="97">
        <v>78000</v>
      </c>
      <c r="J39" s="97"/>
      <c r="K39" s="97"/>
      <c r="L39" s="97"/>
      <c r="M39" s="97"/>
      <c r="O39" s="406">
        <f>(+AC$1/$AF$1)*$O$3</f>
        <v>13121.148809781618</v>
      </c>
      <c r="P39">
        <f>+O39*0.2013</f>
        <v>2641.28725540904</v>
      </c>
      <c r="Q39" s="411">
        <f t="shared" si="1"/>
        <v>1535.0557966509552</v>
      </c>
    </row>
    <row r="40" spans="1:17" ht="12" customHeight="1">
      <c r="A40" s="37" t="s">
        <v>107</v>
      </c>
      <c r="B40" s="38" t="s">
        <v>105</v>
      </c>
      <c r="C40" s="11" t="s">
        <v>106</v>
      </c>
      <c r="D40" s="431">
        <v>56000</v>
      </c>
      <c r="E40" s="98">
        <f t="shared" si="3"/>
        <v>86000</v>
      </c>
      <c r="F40" s="99"/>
      <c r="G40" s="100"/>
      <c r="H40" s="409">
        <v>85000</v>
      </c>
      <c r="I40" s="97">
        <v>1000</v>
      </c>
      <c r="J40" s="97"/>
      <c r="K40" s="97"/>
      <c r="L40" s="97"/>
      <c r="M40" s="97"/>
      <c r="O40" s="406"/>
      <c r="Q40" s="411">
        <f t="shared" si="1"/>
        <v>0</v>
      </c>
    </row>
    <row r="41" spans="1:17" ht="12" customHeight="1">
      <c r="A41" s="37" t="s">
        <v>110</v>
      </c>
      <c r="B41" s="38" t="s">
        <v>108</v>
      </c>
      <c r="C41" s="11" t="s">
        <v>109</v>
      </c>
      <c r="D41" s="431">
        <v>0</v>
      </c>
      <c r="E41" s="98">
        <f t="shared" si="3"/>
        <v>0</v>
      </c>
      <c r="F41" s="99"/>
      <c r="G41" s="100"/>
      <c r="H41" s="409"/>
      <c r="I41" s="97"/>
      <c r="J41" s="97"/>
      <c r="K41" s="97"/>
      <c r="L41" s="97"/>
      <c r="M41" s="97"/>
      <c r="O41" s="406"/>
      <c r="Q41" s="411">
        <f t="shared" si="1"/>
        <v>0</v>
      </c>
    </row>
    <row r="42" spans="1:17" ht="12" customHeight="1">
      <c r="A42" s="37" t="s">
        <v>111</v>
      </c>
      <c r="B42" s="38"/>
      <c r="C42" s="11"/>
      <c r="D42" s="434"/>
      <c r="E42" s="102"/>
      <c r="F42" s="103"/>
      <c r="G42" s="104"/>
      <c r="H42" s="410"/>
      <c r="I42" s="102"/>
      <c r="J42" s="102"/>
      <c r="K42" s="102"/>
      <c r="L42" s="102"/>
      <c r="M42" s="102"/>
      <c r="O42" s="406"/>
      <c r="Q42" s="411">
        <f t="shared" si="1"/>
        <v>0</v>
      </c>
    </row>
    <row r="43" spans="1:17" ht="12" customHeight="1">
      <c r="A43" s="37" t="s">
        <v>114</v>
      </c>
      <c r="B43" s="38" t="s">
        <v>112</v>
      </c>
      <c r="C43" s="11" t="s">
        <v>113</v>
      </c>
      <c r="D43" s="431">
        <v>815281.0700000001</v>
      </c>
      <c r="E43" s="98">
        <f>SUM(F43:M43)</f>
        <v>867037.8367995316</v>
      </c>
      <c r="F43" s="99">
        <f>494160.2+O43</f>
        <v>529999.1959804038</v>
      </c>
      <c r="G43" s="100">
        <f>152697.05+P43+Q43</f>
        <v>167086.2408191278</v>
      </c>
      <c r="H43" s="409">
        <v>87000</v>
      </c>
      <c r="I43" s="97">
        <v>80000</v>
      </c>
      <c r="J43" s="97"/>
      <c r="K43" s="97"/>
      <c r="L43" s="97">
        <v>2952.4</v>
      </c>
      <c r="M43" s="97"/>
      <c r="O43" s="406">
        <f>(+AD$1/$AF$1)*$O$3</f>
        <v>35838.99598040375</v>
      </c>
      <c r="P43">
        <f>+O43*0.2013+594.6</f>
        <v>7808.989890855275</v>
      </c>
      <c r="Q43" s="411">
        <f t="shared" si="1"/>
        <v>6580.200928272531</v>
      </c>
    </row>
    <row r="44" spans="1:17" ht="12" customHeight="1">
      <c r="A44" s="37" t="s">
        <v>117</v>
      </c>
      <c r="B44" s="38" t="s">
        <v>115</v>
      </c>
      <c r="C44" s="11" t="s">
        <v>116</v>
      </c>
      <c r="D44" s="431">
        <v>88783.98999999999</v>
      </c>
      <c r="E44" s="98">
        <f>SUM(F44:M44)</f>
        <v>103338.51667391913</v>
      </c>
      <c r="F44" s="99">
        <f>62500+O44</f>
        <v>66974.15266648994</v>
      </c>
      <c r="G44" s="100">
        <f>12581.25+P44+Q44</f>
        <v>14313.414007429194</v>
      </c>
      <c r="H44" s="409"/>
      <c r="I44" s="97">
        <v>20000</v>
      </c>
      <c r="J44" s="97"/>
      <c r="K44" s="97"/>
      <c r="L44" s="97">
        <v>2050.95</v>
      </c>
      <c r="M44" s="97"/>
      <c r="O44" s="406">
        <f>(+AE$1/$AF$1)*$O$3-801.93</f>
        <v>4474.1526664899475</v>
      </c>
      <c r="P44">
        <f>+O44*0.2013</f>
        <v>900.6469317644264</v>
      </c>
      <c r="Q44" s="411">
        <f t="shared" si="1"/>
        <v>831.5170756647675</v>
      </c>
    </row>
    <row r="45" spans="1:17" ht="12" customHeight="1">
      <c r="A45" s="37" t="s">
        <v>120</v>
      </c>
      <c r="B45" s="38" t="s">
        <v>118</v>
      </c>
      <c r="C45" s="11" t="s">
        <v>119</v>
      </c>
      <c r="D45" s="431">
        <v>0</v>
      </c>
      <c r="E45" s="98"/>
      <c r="F45" s="99"/>
      <c r="G45" s="100"/>
      <c r="H45" s="101"/>
      <c r="I45" s="97"/>
      <c r="J45" s="97"/>
      <c r="K45" s="97"/>
      <c r="L45" s="97"/>
      <c r="M45" s="97"/>
      <c r="Q45" s="411">
        <f t="shared" si="1"/>
        <v>0</v>
      </c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2017-18.xls]100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7" ht="15">
      <c r="C48" s="222" t="s">
        <v>291</v>
      </c>
      <c r="D48" s="193">
        <f aca="true" t="shared" si="4" ref="D48:M48">SUM(D23:D46)</f>
        <v>4395724.62</v>
      </c>
      <c r="E48" s="193">
        <f t="shared" si="4"/>
        <v>4568904.365632427</v>
      </c>
      <c r="F48" s="193">
        <f t="shared" si="4"/>
        <v>2485466.5868789232</v>
      </c>
      <c r="G48" s="193">
        <f t="shared" si="4"/>
        <v>790744.3087535044</v>
      </c>
      <c r="H48" s="193">
        <f t="shared" si="4"/>
        <v>896869</v>
      </c>
      <c r="I48" s="193">
        <f t="shared" si="4"/>
        <v>316693.52</v>
      </c>
      <c r="J48" s="193">
        <f t="shared" si="4"/>
        <v>19000</v>
      </c>
      <c r="K48" s="193">
        <f t="shared" si="4"/>
        <v>0</v>
      </c>
      <c r="L48" s="193">
        <f t="shared" si="4"/>
        <v>60130.95</v>
      </c>
      <c r="M48" s="193">
        <f t="shared" si="4"/>
        <v>0</v>
      </c>
      <c r="O48" s="412">
        <f>SUM(O8:O45)</f>
        <v>129263.7926984374</v>
      </c>
      <c r="P48" s="412">
        <f>SUM(P8:P45)</f>
        <v>26615.401470195447</v>
      </c>
      <c r="Q48" s="412">
        <f>SUM(Q8:Q45)</f>
        <v>100931</v>
      </c>
    </row>
    <row r="49" spans="15:17" ht="15">
      <c r="O49" s="412">
        <f>+O48-O3</f>
        <v>0.0026984374126186594</v>
      </c>
      <c r="P49" s="412">
        <f>+P48-P3</f>
        <v>0.0014701954460178968</v>
      </c>
      <c r="Q49" s="412">
        <f>+Q48-Q3</f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2" width="11.10546875" style="0" customWidth="1"/>
    <col min="13" max="13" width="11.88671875" style="0" customWidth="1"/>
  </cols>
  <sheetData>
    <row r="1" spans="1:13" ht="15.75">
      <c r="A1" s="244" t="s">
        <v>0</v>
      </c>
      <c r="B1" s="128"/>
      <c r="C1" s="144"/>
      <c r="E1" s="41" t="s">
        <v>1</v>
      </c>
      <c r="F1" s="28"/>
      <c r="G1" s="28"/>
      <c r="H1" s="28"/>
      <c r="L1" s="17"/>
      <c r="M1" s="84" t="s">
        <v>263</v>
      </c>
    </row>
    <row r="2" spans="5:13" ht="15.75">
      <c r="E2" s="41" t="s">
        <v>2</v>
      </c>
      <c r="F2" s="28"/>
      <c r="G2" s="28"/>
      <c r="H2" s="42"/>
      <c r="K2" s="85"/>
      <c r="L2" s="86"/>
      <c r="M2" s="245" t="s">
        <v>331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245" t="s">
        <v>139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+D8+'258'!D48</f>
        <v>0</v>
      </c>
      <c r="E10" s="184">
        <f>+E8+'258'!E48</f>
        <v>0</v>
      </c>
      <c r="F10" s="184">
        <f>+F8+'258'!F48</f>
        <v>0</v>
      </c>
      <c r="G10" s="184">
        <f>+G8+'258'!G48</f>
        <v>0</v>
      </c>
      <c r="H10" s="184">
        <f>+H8+'258'!H48</f>
        <v>0</v>
      </c>
      <c r="I10" s="184">
        <f>+I8+'258'!I48</f>
        <v>0</v>
      </c>
      <c r="J10" s="184">
        <f>+J8+'258'!J48</f>
        <v>0</v>
      </c>
      <c r="K10" s="184">
        <f>+K8+'258'!K48</f>
        <v>0</v>
      </c>
      <c r="L10" s="184">
        <f>+L8+'258'!L48</f>
        <v>0</v>
      </c>
      <c r="M10" s="184">
        <f>+M8+'258'!M48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SUM(D28,D21,D16,D10,'258'!D21)</f>
        <v>21386</v>
      </c>
      <c r="E31" s="202">
        <f>SUM(E28,E21,E16,E10,'258'!E21)</f>
        <v>21412</v>
      </c>
      <c r="F31" s="202">
        <f>SUM(F28,F21,F16,F10,'258'!F21)</f>
        <v>13736</v>
      </c>
      <c r="G31" s="202">
        <f>SUM(G28,G21,G16,G10,'258'!G21)</f>
        <v>7676</v>
      </c>
      <c r="H31" s="202">
        <f>SUM(H28,H21,H16,H10,'258'!H21)</f>
        <v>0</v>
      </c>
      <c r="I31" s="202">
        <f>SUM(I28,I21,I16,I10,'258'!I21)</f>
        <v>0</v>
      </c>
      <c r="J31" s="202">
        <f>SUM(J28,J21,J16,J10,'258'!J21)</f>
        <v>0</v>
      </c>
      <c r="K31" s="202">
        <f>SUM(K28,K21,K16,K10,'258'!K21)</f>
        <v>0</v>
      </c>
      <c r="L31" s="202">
        <f>SUM(L28,L21,L16,L10,'258'!L21)</f>
        <v>0</v>
      </c>
      <c r="M31" s="202">
        <f>SUM(M28,M21,M16,M10,'258'!M21)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0</v>
      </c>
      <c r="E42" s="193">
        <v>0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21386</v>
      </c>
      <c r="E43" s="193">
        <f>+E31</f>
        <v>21412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21386</v>
      </c>
      <c r="E44" s="193">
        <f>SUM(E42:E43)</f>
        <v>21412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21386</v>
      </c>
      <c r="E46" s="190">
        <f>E31</f>
        <v>21412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21386</v>
      </c>
      <c r="E48" s="197">
        <f>SUM(E46:E47)</f>
        <v>21412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2017-18.xls]258b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E3" sqref="E3"/>
    </sheetView>
  </sheetViews>
  <sheetFormatPr defaultColWidth="9.77734375" defaultRowHeight="15"/>
  <cols>
    <col min="1" max="1" width="4.77734375" style="247" customWidth="1"/>
    <col min="2" max="2" width="7.77734375" style="247" customWidth="1"/>
    <col min="3" max="3" width="27.5546875" style="247" customWidth="1"/>
    <col min="4" max="6" width="11.77734375" style="247" customWidth="1"/>
    <col min="7" max="9" width="10.77734375" style="247" customWidth="1"/>
    <col min="10" max="16384" width="9.77734375" style="247" customWidth="1"/>
  </cols>
  <sheetData>
    <row r="1" spans="1:13" ht="15.75">
      <c r="A1" s="302" t="s">
        <v>0</v>
      </c>
      <c r="C1" s="248"/>
      <c r="E1" s="249" t="s">
        <v>1</v>
      </c>
      <c r="F1" s="250"/>
      <c r="G1" s="250"/>
      <c r="M1" s="251" t="s">
        <v>310</v>
      </c>
    </row>
    <row r="2" spans="5:13" ht="15.75">
      <c r="E2" s="249" t="s">
        <v>2</v>
      </c>
      <c r="F2" s="250"/>
      <c r="G2" s="250"/>
      <c r="L2" s="252"/>
      <c r="M2" s="245" t="s">
        <v>327</v>
      </c>
    </row>
    <row r="3" spans="5:13" ht="15">
      <c r="E3" s="2" t="str">
        <f>Form!E3</f>
        <v>July 1, 2017 - June 30, 2018</v>
      </c>
      <c r="F3" s="250"/>
      <c r="G3" s="250"/>
      <c r="L3" s="253"/>
      <c r="M3" s="245" t="s">
        <v>328</v>
      </c>
    </row>
    <row r="4" spans="1:13" ht="12" customHeight="1">
      <c r="A4" s="254" t="s">
        <v>4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12" customHeight="1">
      <c r="A5" s="255"/>
      <c r="B5" s="256"/>
      <c r="C5" s="257" t="s">
        <v>2</v>
      </c>
      <c r="D5" s="257" t="s">
        <v>5</v>
      </c>
      <c r="E5" s="258" t="s">
        <v>6</v>
      </c>
      <c r="F5" s="259" t="s">
        <v>7</v>
      </c>
      <c r="G5" s="259" t="s">
        <v>8</v>
      </c>
      <c r="H5" s="259" t="s">
        <v>9</v>
      </c>
      <c r="I5" s="259" t="s">
        <v>10</v>
      </c>
      <c r="J5" s="259" t="s">
        <v>11</v>
      </c>
      <c r="K5" s="260" t="s">
        <v>12</v>
      </c>
      <c r="L5" s="257" t="s">
        <v>13</v>
      </c>
      <c r="M5" s="257" t="s">
        <v>14</v>
      </c>
    </row>
    <row r="6" spans="1:13" ht="12" customHeight="1">
      <c r="A6" s="261"/>
      <c r="B6" s="262"/>
      <c r="C6" s="262"/>
      <c r="D6" s="262"/>
      <c r="E6" s="262"/>
      <c r="F6" s="254"/>
      <c r="G6" s="263"/>
      <c r="H6" s="264" t="s">
        <v>15</v>
      </c>
      <c r="I6" s="264" t="s">
        <v>16</v>
      </c>
      <c r="J6" s="265" t="s">
        <v>17</v>
      </c>
      <c r="K6" s="266" t="s">
        <v>18</v>
      </c>
      <c r="L6" s="266" t="s">
        <v>19</v>
      </c>
      <c r="M6" s="262"/>
    </row>
    <row r="7" spans="1:13" ht="12" customHeight="1">
      <c r="A7" s="267" t="s">
        <v>20</v>
      </c>
      <c r="B7" s="268" t="s">
        <v>21</v>
      </c>
      <c r="C7" s="268" t="s">
        <v>22</v>
      </c>
      <c r="D7" s="268" t="s">
        <v>23</v>
      </c>
      <c r="E7" s="268" t="s">
        <v>23</v>
      </c>
      <c r="F7" s="269" t="s">
        <v>24</v>
      </c>
      <c r="G7" s="270" t="s">
        <v>25</v>
      </c>
      <c r="H7" s="270" t="s">
        <v>26</v>
      </c>
      <c r="I7" s="270" t="s">
        <v>27</v>
      </c>
      <c r="J7" s="267" t="s">
        <v>28</v>
      </c>
      <c r="K7" s="268" t="s">
        <v>29</v>
      </c>
      <c r="L7" s="268" t="s">
        <v>30</v>
      </c>
      <c r="M7" s="268" t="s">
        <v>31</v>
      </c>
    </row>
    <row r="8" spans="1:13" ht="12" customHeight="1">
      <c r="A8" s="267" t="s">
        <v>32</v>
      </c>
      <c r="B8" s="268" t="s">
        <v>33</v>
      </c>
      <c r="C8" s="271" t="s">
        <v>34</v>
      </c>
      <c r="D8" s="272"/>
      <c r="E8" s="273">
        <f aca="true" t="shared" si="0" ref="E8:E19">SUM(F8:M8)</f>
        <v>0</v>
      </c>
      <c r="F8" s="274"/>
      <c r="G8" s="275"/>
      <c r="H8" s="276"/>
      <c r="I8" s="272"/>
      <c r="J8" s="272"/>
      <c r="K8" s="272"/>
      <c r="L8" s="272"/>
      <c r="M8" s="272"/>
    </row>
    <row r="9" spans="1:13" ht="12" customHeight="1">
      <c r="A9" s="267" t="s">
        <v>35</v>
      </c>
      <c r="B9" s="268" t="s">
        <v>36</v>
      </c>
      <c r="C9" s="271" t="s">
        <v>37</v>
      </c>
      <c r="D9" s="277"/>
      <c r="E9" s="278">
        <f t="shared" si="0"/>
        <v>0</v>
      </c>
      <c r="F9" s="279"/>
      <c r="G9" s="280"/>
      <c r="H9" s="281"/>
      <c r="I9" s="277"/>
      <c r="J9" s="277"/>
      <c r="K9" s="277"/>
      <c r="L9" s="277"/>
      <c r="M9" s="277"/>
    </row>
    <row r="10" spans="1:13" ht="12" customHeight="1">
      <c r="A10" s="267" t="s">
        <v>38</v>
      </c>
      <c r="B10" s="268" t="s">
        <v>39</v>
      </c>
      <c r="C10" s="271" t="s">
        <v>40</v>
      </c>
      <c r="D10" s="277"/>
      <c r="E10" s="278">
        <f t="shared" si="0"/>
        <v>0</v>
      </c>
      <c r="F10" s="279"/>
      <c r="G10" s="280"/>
      <c r="H10" s="281"/>
      <c r="I10" s="277"/>
      <c r="J10" s="277"/>
      <c r="K10" s="277"/>
      <c r="L10" s="277"/>
      <c r="M10" s="277"/>
    </row>
    <row r="11" spans="1:13" ht="12" customHeight="1">
      <c r="A11" s="282" t="s">
        <v>41</v>
      </c>
      <c r="B11" s="268">
        <v>519</v>
      </c>
      <c r="C11" s="271" t="s">
        <v>259</v>
      </c>
      <c r="D11" s="277"/>
      <c r="E11" s="278">
        <f t="shared" si="0"/>
        <v>0</v>
      </c>
      <c r="F11" s="279"/>
      <c r="G11" s="280"/>
      <c r="H11" s="281"/>
      <c r="I11" s="277"/>
      <c r="J11" s="277"/>
      <c r="K11" s="277"/>
      <c r="L11" s="277"/>
      <c r="M11" s="277"/>
    </row>
    <row r="12" spans="1:13" ht="12" customHeight="1">
      <c r="A12" s="267" t="s">
        <v>43</v>
      </c>
      <c r="B12" s="268" t="s">
        <v>42</v>
      </c>
      <c r="C12" s="271" t="s">
        <v>293</v>
      </c>
      <c r="D12" s="277"/>
      <c r="E12" s="278">
        <f t="shared" si="0"/>
        <v>0</v>
      </c>
      <c r="F12" s="279"/>
      <c r="G12" s="280"/>
      <c r="H12" s="281"/>
      <c r="I12" s="277"/>
      <c r="J12" s="277"/>
      <c r="K12" s="277"/>
      <c r="L12" s="277"/>
      <c r="M12" s="277"/>
    </row>
    <row r="13" spans="1:13" ht="12" customHeight="1">
      <c r="A13" s="267" t="s">
        <v>45</v>
      </c>
      <c r="B13" s="268" t="s">
        <v>44</v>
      </c>
      <c r="C13" s="271" t="s">
        <v>294</v>
      </c>
      <c r="D13" s="277"/>
      <c r="E13" s="278">
        <f t="shared" si="0"/>
        <v>0</v>
      </c>
      <c r="F13" s="279"/>
      <c r="G13" s="280"/>
      <c r="H13" s="281"/>
      <c r="I13" s="277"/>
      <c r="J13" s="277"/>
      <c r="K13" s="277"/>
      <c r="L13" s="277"/>
      <c r="M13" s="277"/>
    </row>
    <row r="14" spans="1:13" ht="12" customHeight="1">
      <c r="A14" s="267" t="s">
        <v>48</v>
      </c>
      <c r="B14" s="268" t="s">
        <v>46</v>
      </c>
      <c r="C14" s="271" t="s">
        <v>47</v>
      </c>
      <c r="D14" s="277"/>
      <c r="E14" s="278">
        <f t="shared" si="0"/>
        <v>0</v>
      </c>
      <c r="F14" s="279"/>
      <c r="G14" s="280"/>
      <c r="H14" s="281"/>
      <c r="I14" s="277"/>
      <c r="J14" s="277"/>
      <c r="K14" s="277"/>
      <c r="L14" s="277"/>
      <c r="M14" s="277"/>
    </row>
    <row r="15" spans="1:13" ht="12" customHeight="1">
      <c r="A15" s="267" t="s">
        <v>51</v>
      </c>
      <c r="B15" s="268" t="s">
        <v>49</v>
      </c>
      <c r="C15" s="271" t="s">
        <v>50</v>
      </c>
      <c r="D15" s="277"/>
      <c r="E15" s="278">
        <f t="shared" si="0"/>
        <v>0</v>
      </c>
      <c r="F15" s="279"/>
      <c r="G15" s="280"/>
      <c r="H15" s="281"/>
      <c r="I15" s="277"/>
      <c r="J15" s="277"/>
      <c r="K15" s="277"/>
      <c r="L15" s="277"/>
      <c r="M15" s="277"/>
    </row>
    <row r="16" spans="1:13" ht="12" customHeight="1">
      <c r="A16" s="267" t="s">
        <v>54</v>
      </c>
      <c r="B16" s="268" t="s">
        <v>52</v>
      </c>
      <c r="C16" s="271" t="s">
        <v>53</v>
      </c>
      <c r="D16" s="277"/>
      <c r="E16" s="278">
        <f t="shared" si="0"/>
        <v>0</v>
      </c>
      <c r="F16" s="279"/>
      <c r="G16" s="280"/>
      <c r="H16" s="281"/>
      <c r="I16" s="277"/>
      <c r="J16" s="277"/>
      <c r="K16" s="277"/>
      <c r="L16" s="277"/>
      <c r="M16" s="277"/>
    </row>
    <row r="17" spans="1:13" ht="12" customHeight="1">
      <c r="A17" s="267" t="s">
        <v>55</v>
      </c>
      <c r="B17" s="268" t="s">
        <v>56</v>
      </c>
      <c r="C17" s="271" t="s">
        <v>57</v>
      </c>
      <c r="D17" s="277"/>
      <c r="E17" s="278">
        <f t="shared" si="0"/>
        <v>0</v>
      </c>
      <c r="F17" s="279"/>
      <c r="G17" s="280"/>
      <c r="H17" s="281"/>
      <c r="I17" s="277"/>
      <c r="J17" s="277"/>
      <c r="K17" s="277"/>
      <c r="L17" s="277"/>
      <c r="M17" s="277"/>
    </row>
    <row r="18" spans="1:13" ht="12" customHeight="1">
      <c r="A18" s="267" t="s">
        <v>58</v>
      </c>
      <c r="B18" s="268" t="s">
        <v>59</v>
      </c>
      <c r="C18" s="271" t="s">
        <v>60</v>
      </c>
      <c r="D18" s="277"/>
      <c r="E18" s="278">
        <f t="shared" si="0"/>
        <v>0</v>
      </c>
      <c r="F18" s="279"/>
      <c r="G18" s="280"/>
      <c r="H18" s="281"/>
      <c r="I18" s="277"/>
      <c r="J18" s="277"/>
      <c r="K18" s="277"/>
      <c r="L18" s="277"/>
      <c r="M18" s="277"/>
    </row>
    <row r="19" spans="1:13" ht="12" customHeight="1">
      <c r="A19" s="267" t="s">
        <v>61</v>
      </c>
      <c r="B19" s="268" t="s">
        <v>62</v>
      </c>
      <c r="C19" s="271" t="s">
        <v>63</v>
      </c>
      <c r="D19" s="277"/>
      <c r="E19" s="278">
        <f t="shared" si="0"/>
        <v>0</v>
      </c>
      <c r="F19" s="279"/>
      <c r="G19" s="280"/>
      <c r="H19" s="281"/>
      <c r="I19" s="277"/>
      <c r="J19" s="277"/>
      <c r="K19" s="277"/>
      <c r="L19" s="277"/>
      <c r="M19" s="277"/>
    </row>
    <row r="20" spans="1:13" ht="12" customHeight="1">
      <c r="A20" s="267" t="s">
        <v>64</v>
      </c>
      <c r="B20" s="271"/>
      <c r="C20" s="271"/>
      <c r="D20" s="283"/>
      <c r="E20" s="283"/>
      <c r="F20" s="284"/>
      <c r="G20" s="285"/>
      <c r="H20" s="286"/>
      <c r="I20" s="283"/>
      <c r="J20" s="283"/>
      <c r="K20" s="283"/>
      <c r="L20" s="283"/>
      <c r="M20" s="283"/>
    </row>
    <row r="21" spans="1:13" ht="12" customHeight="1">
      <c r="A21" s="267" t="s">
        <v>65</v>
      </c>
      <c r="B21" s="268" t="s">
        <v>11</v>
      </c>
      <c r="C21" s="287" t="s">
        <v>66</v>
      </c>
      <c r="D21" s="288">
        <f aca="true" t="shared" si="1" ref="D21:M21">SUM(D8:D19)</f>
        <v>0</v>
      </c>
      <c r="E21" s="288">
        <f t="shared" si="1"/>
        <v>0</v>
      </c>
      <c r="F21" s="288">
        <f t="shared" si="1"/>
        <v>0</v>
      </c>
      <c r="G21" s="288">
        <f t="shared" si="1"/>
        <v>0</v>
      </c>
      <c r="H21" s="288">
        <f t="shared" si="1"/>
        <v>0</v>
      </c>
      <c r="I21" s="288">
        <f t="shared" si="1"/>
        <v>0</v>
      </c>
      <c r="J21" s="288">
        <f t="shared" si="1"/>
        <v>0</v>
      </c>
      <c r="K21" s="288">
        <f t="shared" si="1"/>
        <v>0</v>
      </c>
      <c r="L21" s="288">
        <f t="shared" si="1"/>
        <v>0</v>
      </c>
      <c r="M21" s="288">
        <f t="shared" si="1"/>
        <v>0</v>
      </c>
    </row>
    <row r="22" spans="1:13" ht="12" customHeight="1">
      <c r="A22" s="267" t="s">
        <v>67</v>
      </c>
      <c r="B22" s="271"/>
      <c r="C22" s="271"/>
      <c r="D22" s="289"/>
      <c r="E22" s="289"/>
      <c r="F22" s="290"/>
      <c r="G22" s="291"/>
      <c r="H22" s="292"/>
      <c r="I22" s="289"/>
      <c r="J22" s="289"/>
      <c r="K22" s="289"/>
      <c r="L22" s="289"/>
      <c r="M22" s="289"/>
    </row>
    <row r="23" spans="1:13" ht="12" customHeight="1">
      <c r="A23" s="267" t="s">
        <v>68</v>
      </c>
      <c r="B23" s="268" t="s">
        <v>69</v>
      </c>
      <c r="C23" s="271" t="s">
        <v>70</v>
      </c>
      <c r="D23" s="277"/>
      <c r="E23" s="278">
        <f>SUM(F23:M23)</f>
        <v>0</v>
      </c>
      <c r="F23" s="279"/>
      <c r="G23" s="280"/>
      <c r="H23" s="281"/>
      <c r="I23" s="277"/>
      <c r="J23" s="277"/>
      <c r="K23" s="277"/>
      <c r="L23" s="277"/>
      <c r="M23" s="277"/>
    </row>
    <row r="24" spans="1:13" ht="12" customHeight="1">
      <c r="A24" s="267" t="s">
        <v>71</v>
      </c>
      <c r="B24" s="268" t="s">
        <v>72</v>
      </c>
      <c r="C24" s="271" t="s">
        <v>295</v>
      </c>
      <c r="D24" s="277"/>
      <c r="E24" s="278">
        <f>SUM(F24:M24)</f>
        <v>0</v>
      </c>
      <c r="F24" s="279"/>
      <c r="G24" s="280"/>
      <c r="H24" s="281"/>
      <c r="I24" s="277"/>
      <c r="J24" s="277"/>
      <c r="K24" s="277"/>
      <c r="L24" s="277"/>
      <c r="M24" s="277"/>
    </row>
    <row r="25" spans="1:13" ht="12" customHeight="1">
      <c r="A25" s="267" t="s">
        <v>73</v>
      </c>
      <c r="B25" s="268"/>
      <c r="C25" s="271"/>
      <c r="D25" s="293"/>
      <c r="E25" s="293"/>
      <c r="F25" s="294"/>
      <c r="G25" s="295"/>
      <c r="H25" s="296"/>
      <c r="I25" s="293"/>
      <c r="J25" s="293"/>
      <c r="K25" s="293"/>
      <c r="L25" s="293"/>
      <c r="M25" s="293"/>
    </row>
    <row r="26" spans="1:13" ht="12" customHeight="1">
      <c r="A26" s="267" t="s">
        <v>74</v>
      </c>
      <c r="B26" s="268" t="s">
        <v>75</v>
      </c>
      <c r="C26" s="271" t="s">
        <v>76</v>
      </c>
      <c r="D26" s="277"/>
      <c r="E26" s="278">
        <f>SUM(F26:M26)</f>
        <v>0</v>
      </c>
      <c r="F26" s="279"/>
      <c r="G26" s="280"/>
      <c r="H26" s="281"/>
      <c r="I26" s="277"/>
      <c r="J26" s="277"/>
      <c r="K26" s="277"/>
      <c r="L26" s="277"/>
      <c r="M26" s="277"/>
    </row>
    <row r="27" spans="1:13" ht="12" customHeight="1">
      <c r="A27" s="267" t="s">
        <v>77</v>
      </c>
      <c r="B27" s="268" t="s">
        <v>78</v>
      </c>
      <c r="C27" s="271" t="s">
        <v>79</v>
      </c>
      <c r="D27" s="277"/>
      <c r="E27" s="278">
        <f>SUM(F27:M27)</f>
        <v>0</v>
      </c>
      <c r="F27" s="279"/>
      <c r="G27" s="280"/>
      <c r="H27" s="281"/>
      <c r="I27" s="277"/>
      <c r="J27" s="277"/>
      <c r="K27" s="277"/>
      <c r="L27" s="277"/>
      <c r="M27" s="277"/>
    </row>
    <row r="28" spans="1:13" ht="12" customHeight="1">
      <c r="A28" s="267" t="s">
        <v>80</v>
      </c>
      <c r="B28" s="268">
        <v>623</v>
      </c>
      <c r="C28" s="271" t="s">
        <v>264</v>
      </c>
      <c r="D28" s="277"/>
      <c r="E28" s="278">
        <f>SUM(F28:M28)</f>
        <v>0</v>
      </c>
      <c r="F28" s="279"/>
      <c r="G28" s="280"/>
      <c r="H28" s="281"/>
      <c r="I28" s="277"/>
      <c r="J28" s="277"/>
      <c r="K28" s="277"/>
      <c r="L28" s="277"/>
      <c r="M28" s="277"/>
    </row>
    <row r="29" spans="1:13" ht="12" customHeight="1">
      <c r="A29" s="267" t="s">
        <v>81</v>
      </c>
      <c r="B29" s="268" t="s">
        <v>82</v>
      </c>
      <c r="C29" s="271" t="s">
        <v>83</v>
      </c>
      <c r="D29" s="277"/>
      <c r="E29" s="278">
        <f>SUM(F29:M29)</f>
        <v>0</v>
      </c>
      <c r="F29" s="279"/>
      <c r="G29" s="280"/>
      <c r="H29" s="281"/>
      <c r="I29" s="277"/>
      <c r="J29" s="277"/>
      <c r="K29" s="277"/>
      <c r="L29" s="277"/>
      <c r="M29" s="277"/>
    </row>
    <row r="30" spans="1:13" ht="12" customHeight="1">
      <c r="A30" s="267" t="s">
        <v>84</v>
      </c>
      <c r="B30" s="268" t="s">
        <v>85</v>
      </c>
      <c r="C30" s="271" t="s">
        <v>86</v>
      </c>
      <c r="D30" s="277"/>
      <c r="E30" s="278">
        <f>SUM(F30:M30)</f>
        <v>0</v>
      </c>
      <c r="F30" s="279"/>
      <c r="G30" s="280"/>
      <c r="H30" s="281"/>
      <c r="I30" s="277"/>
      <c r="J30" s="277"/>
      <c r="K30" s="277"/>
      <c r="L30" s="277"/>
      <c r="M30" s="277"/>
    </row>
    <row r="31" spans="1:13" ht="12" customHeight="1">
      <c r="A31" s="267" t="s">
        <v>87</v>
      </c>
      <c r="B31" s="268"/>
      <c r="C31" s="271"/>
      <c r="D31" s="293"/>
      <c r="E31" s="293"/>
      <c r="F31" s="294"/>
      <c r="G31" s="295"/>
      <c r="H31" s="296"/>
      <c r="I31" s="293"/>
      <c r="J31" s="293"/>
      <c r="K31" s="293"/>
      <c r="L31" s="293"/>
      <c r="M31" s="293"/>
    </row>
    <row r="32" spans="1:13" ht="12" customHeight="1">
      <c r="A32" s="267" t="s">
        <v>88</v>
      </c>
      <c r="B32" s="268" t="s">
        <v>89</v>
      </c>
      <c r="C32" s="271" t="s">
        <v>90</v>
      </c>
      <c r="D32" s="277"/>
      <c r="E32" s="278">
        <f>SUM(F32:M32)</f>
        <v>0</v>
      </c>
      <c r="F32" s="279"/>
      <c r="G32" s="280"/>
      <c r="H32" s="281"/>
      <c r="I32" s="277"/>
      <c r="J32" s="277"/>
      <c r="K32" s="277"/>
      <c r="L32" s="277"/>
      <c r="M32" s="277"/>
    </row>
    <row r="33" spans="1:13" ht="8.25" customHeight="1">
      <c r="A33" s="267" t="s">
        <v>91</v>
      </c>
      <c r="B33" s="268"/>
      <c r="C33" s="271"/>
      <c r="D33" s="293"/>
      <c r="E33" s="293"/>
      <c r="F33" s="294"/>
      <c r="G33" s="295"/>
      <c r="H33" s="296"/>
      <c r="I33" s="293"/>
      <c r="J33" s="293"/>
      <c r="K33" s="293"/>
      <c r="L33" s="293"/>
      <c r="M33" s="293"/>
    </row>
    <row r="34" spans="1:13" ht="12" customHeight="1">
      <c r="A34" s="267" t="s">
        <v>92</v>
      </c>
      <c r="B34" s="268" t="s">
        <v>93</v>
      </c>
      <c r="C34" s="271" t="s">
        <v>94</v>
      </c>
      <c r="D34" s="277"/>
      <c r="E34" s="278">
        <f aca="true" t="shared" si="2" ref="E34:E41">SUM(F34:M34)</f>
        <v>0</v>
      </c>
      <c r="F34" s="279"/>
      <c r="G34" s="280"/>
      <c r="H34" s="281"/>
      <c r="I34" s="277"/>
      <c r="J34" s="277"/>
      <c r="K34" s="277"/>
      <c r="L34" s="277"/>
      <c r="M34" s="277"/>
    </row>
    <row r="35" spans="1:13" ht="12" customHeight="1">
      <c r="A35" s="267" t="s">
        <v>95</v>
      </c>
      <c r="B35" s="268" t="s">
        <v>96</v>
      </c>
      <c r="C35" s="271" t="s">
        <v>97</v>
      </c>
      <c r="D35" s="277"/>
      <c r="E35" s="278">
        <f t="shared" si="2"/>
        <v>0</v>
      </c>
      <c r="F35" s="279"/>
      <c r="G35" s="280"/>
      <c r="H35" s="281"/>
      <c r="I35" s="277"/>
      <c r="J35" s="277"/>
      <c r="K35" s="277"/>
      <c r="L35" s="277"/>
      <c r="M35" s="277"/>
    </row>
    <row r="36" spans="1:13" ht="12" customHeight="1">
      <c r="A36" s="267" t="s">
        <v>98</v>
      </c>
      <c r="B36" s="268">
        <v>656</v>
      </c>
      <c r="C36" s="271" t="s">
        <v>265</v>
      </c>
      <c r="D36" s="277"/>
      <c r="E36" s="278">
        <f t="shared" si="2"/>
        <v>0</v>
      </c>
      <c r="F36" s="279"/>
      <c r="G36" s="280"/>
      <c r="H36" s="281"/>
      <c r="I36" s="277"/>
      <c r="J36" s="277"/>
      <c r="K36" s="277"/>
      <c r="L36" s="277"/>
      <c r="M36" s="277"/>
    </row>
    <row r="37" spans="1:13" ht="12" customHeight="1">
      <c r="A37" s="267" t="s">
        <v>99</v>
      </c>
      <c r="B37" s="268" t="s">
        <v>100</v>
      </c>
      <c r="C37" s="271" t="s">
        <v>101</v>
      </c>
      <c r="D37" s="277"/>
      <c r="E37" s="278">
        <f t="shared" si="2"/>
        <v>0</v>
      </c>
      <c r="F37" s="279"/>
      <c r="G37" s="280"/>
      <c r="H37" s="281"/>
      <c r="I37" s="277"/>
      <c r="J37" s="277"/>
      <c r="K37" s="277"/>
      <c r="L37" s="277"/>
      <c r="M37" s="277"/>
    </row>
    <row r="38" spans="1:13" ht="12" customHeight="1">
      <c r="A38" s="267" t="s">
        <v>102</v>
      </c>
      <c r="B38" s="268">
        <v>663</v>
      </c>
      <c r="C38" s="271" t="s">
        <v>281</v>
      </c>
      <c r="D38" s="277"/>
      <c r="E38" s="278">
        <f t="shared" si="2"/>
        <v>0</v>
      </c>
      <c r="F38" s="279"/>
      <c r="G38" s="280"/>
      <c r="H38" s="281"/>
      <c r="I38" s="277"/>
      <c r="J38" s="277"/>
      <c r="K38" s="277"/>
      <c r="L38" s="277"/>
      <c r="M38" s="277"/>
    </row>
    <row r="39" spans="1:13" ht="12" customHeight="1">
      <c r="A39" s="267" t="s">
        <v>104</v>
      </c>
      <c r="B39" s="268" t="s">
        <v>103</v>
      </c>
      <c r="C39" s="271" t="s">
        <v>266</v>
      </c>
      <c r="D39" s="277"/>
      <c r="E39" s="278">
        <f t="shared" si="2"/>
        <v>0</v>
      </c>
      <c r="F39" s="279"/>
      <c r="G39" s="280"/>
      <c r="H39" s="281"/>
      <c r="I39" s="277"/>
      <c r="J39" s="277"/>
      <c r="K39" s="277"/>
      <c r="L39" s="277"/>
      <c r="M39" s="277"/>
    </row>
    <row r="40" spans="1:13" ht="12" customHeight="1">
      <c r="A40" s="267" t="s">
        <v>107</v>
      </c>
      <c r="B40" s="268" t="s">
        <v>105</v>
      </c>
      <c r="C40" s="271" t="s">
        <v>106</v>
      </c>
      <c r="D40" s="277"/>
      <c r="E40" s="278">
        <f t="shared" si="2"/>
        <v>0</v>
      </c>
      <c r="F40" s="279"/>
      <c r="G40" s="280"/>
      <c r="H40" s="281"/>
      <c r="I40" s="277"/>
      <c r="J40" s="277"/>
      <c r="K40" s="277"/>
      <c r="L40" s="277"/>
      <c r="M40" s="277"/>
    </row>
    <row r="41" spans="1:13" ht="12" customHeight="1">
      <c r="A41" s="267" t="s">
        <v>110</v>
      </c>
      <c r="B41" s="268" t="s">
        <v>108</v>
      </c>
      <c r="C41" s="271" t="s">
        <v>109</v>
      </c>
      <c r="D41" s="277"/>
      <c r="E41" s="278">
        <f t="shared" si="2"/>
        <v>0</v>
      </c>
      <c r="F41" s="279"/>
      <c r="G41" s="280"/>
      <c r="H41" s="281"/>
      <c r="I41" s="277"/>
      <c r="J41" s="277"/>
      <c r="K41" s="277"/>
      <c r="L41" s="277"/>
      <c r="M41" s="277"/>
    </row>
    <row r="42" spans="1:13" ht="12" customHeight="1">
      <c r="A42" s="267" t="s">
        <v>111</v>
      </c>
      <c r="B42" s="268"/>
      <c r="C42" s="271"/>
      <c r="D42" s="293"/>
      <c r="E42" s="293"/>
      <c r="F42" s="294"/>
      <c r="G42" s="295"/>
      <c r="H42" s="296"/>
      <c r="I42" s="293"/>
      <c r="J42" s="293"/>
      <c r="K42" s="293"/>
      <c r="L42" s="293"/>
      <c r="M42" s="293"/>
    </row>
    <row r="43" spans="1:13" ht="12" customHeight="1">
      <c r="A43" s="267" t="s">
        <v>114</v>
      </c>
      <c r="B43" s="268" t="s">
        <v>112</v>
      </c>
      <c r="C43" s="271" t="s">
        <v>113</v>
      </c>
      <c r="D43" s="277"/>
      <c r="E43" s="278">
        <f>SUM(F43:M43)</f>
        <v>0</v>
      </c>
      <c r="F43" s="279"/>
      <c r="G43" s="280"/>
      <c r="H43" s="281"/>
      <c r="I43" s="277"/>
      <c r="J43" s="277"/>
      <c r="K43" s="277"/>
      <c r="L43" s="277"/>
      <c r="M43" s="277"/>
    </row>
    <row r="44" spans="1:13" ht="12" customHeight="1">
      <c r="A44" s="267" t="s">
        <v>117</v>
      </c>
      <c r="B44" s="268" t="s">
        <v>115</v>
      </c>
      <c r="C44" s="271" t="s">
        <v>116</v>
      </c>
      <c r="D44" s="277"/>
      <c r="E44" s="278">
        <f>SUM(F44:M44)</f>
        <v>0</v>
      </c>
      <c r="F44" s="279"/>
      <c r="G44" s="280"/>
      <c r="H44" s="281"/>
      <c r="I44" s="277"/>
      <c r="J44" s="277"/>
      <c r="K44" s="277"/>
      <c r="L44" s="277"/>
      <c r="M44" s="277"/>
    </row>
    <row r="45" spans="1:13" ht="12" customHeight="1">
      <c r="A45" s="267" t="s">
        <v>120</v>
      </c>
      <c r="B45" s="268" t="s">
        <v>118</v>
      </c>
      <c r="C45" s="271" t="s">
        <v>119</v>
      </c>
      <c r="D45" s="277"/>
      <c r="E45" s="278">
        <f>SUM(F45:M45)</f>
        <v>0</v>
      </c>
      <c r="F45" s="279"/>
      <c r="G45" s="280"/>
      <c r="H45" s="281"/>
      <c r="I45" s="277"/>
      <c r="J45" s="277"/>
      <c r="K45" s="277"/>
      <c r="L45" s="277"/>
      <c r="M45" s="277"/>
    </row>
    <row r="46" spans="1:13" ht="12" customHeight="1">
      <c r="A46" s="297"/>
      <c r="B46" s="298"/>
      <c r="C46" s="271"/>
      <c r="D46" s="293"/>
      <c r="E46" s="293"/>
      <c r="F46" s="294"/>
      <c r="G46" s="295"/>
      <c r="H46" s="296"/>
      <c r="I46" s="293"/>
      <c r="J46" s="293"/>
      <c r="K46" s="293"/>
      <c r="L46" s="293"/>
      <c r="M46" s="293"/>
    </row>
    <row r="47" spans="1:13" ht="12" customHeight="1">
      <c r="A47" s="299" t="str">
        <f ca="1">CELL("filename",A47)</f>
        <v>C:\Users\cchurch\Desktop\Documents\Budget\2017-2018 Budget\[Expenditures 2017-18.xls]260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</row>
    <row r="48" spans="3:13" ht="15">
      <c r="C48" s="300" t="s">
        <v>291</v>
      </c>
      <c r="D48" s="301">
        <f aca="true" t="shared" si="3" ref="D48:M48">SUM(D23:D46)</f>
        <v>0</v>
      </c>
      <c r="E48" s="301">
        <f t="shared" si="3"/>
        <v>0</v>
      </c>
      <c r="F48" s="301">
        <f t="shared" si="3"/>
        <v>0</v>
      </c>
      <c r="G48" s="301">
        <f t="shared" si="3"/>
        <v>0</v>
      </c>
      <c r="H48" s="301">
        <f t="shared" si="3"/>
        <v>0</v>
      </c>
      <c r="I48" s="301">
        <f t="shared" si="3"/>
        <v>0</v>
      </c>
      <c r="J48" s="301">
        <f t="shared" si="3"/>
        <v>0</v>
      </c>
      <c r="K48" s="301">
        <f t="shared" si="3"/>
        <v>0</v>
      </c>
      <c r="L48" s="301">
        <f t="shared" si="3"/>
        <v>0</v>
      </c>
      <c r="M48" s="301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C49"/>
  <sheetViews>
    <sheetView zoomScalePageLayoutView="0" workbookViewId="0" topLeftCell="A1">
      <selection activeCell="E3" sqref="E3"/>
    </sheetView>
  </sheetViews>
  <sheetFormatPr defaultColWidth="8.88671875" defaultRowHeight="15"/>
  <cols>
    <col min="1" max="1" width="4.77734375" style="247" customWidth="1"/>
    <col min="2" max="2" width="7.77734375" style="309" customWidth="1"/>
    <col min="3" max="3" width="29.77734375" style="247" customWidth="1"/>
    <col min="4" max="6" width="11.77734375" style="247" customWidth="1"/>
    <col min="7" max="12" width="11.10546875" style="247" customWidth="1"/>
    <col min="13" max="13" width="11.88671875" style="247" customWidth="1"/>
    <col min="14" max="16384" width="8.88671875" style="247" customWidth="1"/>
  </cols>
  <sheetData>
    <row r="1" spans="1:13" ht="15.75">
      <c r="A1" s="302" t="s">
        <v>0</v>
      </c>
      <c r="B1" s="303"/>
      <c r="C1" s="304"/>
      <c r="E1" s="305" t="s">
        <v>1</v>
      </c>
      <c r="F1" s="306"/>
      <c r="G1" s="306"/>
      <c r="H1" s="306"/>
      <c r="L1" s="307"/>
      <c r="M1" s="308" t="s">
        <v>254</v>
      </c>
    </row>
    <row r="2" spans="5:13" ht="15.75">
      <c r="E2" s="305" t="s">
        <v>2</v>
      </c>
      <c r="F2" s="306"/>
      <c r="G2" s="306"/>
      <c r="H2" s="310"/>
      <c r="K2" s="311"/>
      <c r="L2" s="312"/>
      <c r="M2" s="245" t="s">
        <v>327</v>
      </c>
    </row>
    <row r="3" spans="5:13" ht="15">
      <c r="E3" s="2" t="str">
        <f>Form!E3</f>
        <v>July 1, 2017 - June 30, 2018</v>
      </c>
      <c r="F3" s="250"/>
      <c r="G3" s="250"/>
      <c r="H3" s="310"/>
      <c r="J3" s="313" t="s">
        <v>146</v>
      </c>
      <c r="K3" s="311"/>
      <c r="L3" s="314"/>
      <c r="M3" s="245" t="s">
        <v>328</v>
      </c>
    </row>
    <row r="4" spans="1:12" ht="12" customHeight="1">
      <c r="A4" s="302" t="s">
        <v>4</v>
      </c>
      <c r="B4" s="303"/>
      <c r="C4" s="302"/>
      <c r="D4" s="302"/>
      <c r="E4" s="302"/>
      <c r="F4" s="302"/>
      <c r="G4" s="302"/>
      <c r="H4" s="302"/>
      <c r="I4" s="302"/>
      <c r="J4" s="302"/>
      <c r="K4" s="302"/>
      <c r="L4" s="302"/>
    </row>
    <row r="5" spans="1:13" ht="12" customHeight="1">
      <c r="A5" s="315"/>
      <c r="B5" s="316"/>
      <c r="C5" s="316" t="s">
        <v>2</v>
      </c>
      <c r="D5" s="316" t="s">
        <v>5</v>
      </c>
      <c r="E5" s="316" t="s">
        <v>147</v>
      </c>
      <c r="F5" s="317" t="s">
        <v>7</v>
      </c>
      <c r="G5" s="317" t="s">
        <v>8</v>
      </c>
      <c r="H5" s="317" t="s">
        <v>9</v>
      </c>
      <c r="I5" s="317" t="s">
        <v>10</v>
      </c>
      <c r="J5" s="317" t="s">
        <v>11</v>
      </c>
      <c r="K5" s="318" t="s">
        <v>12</v>
      </c>
      <c r="L5" s="316" t="s">
        <v>13</v>
      </c>
      <c r="M5" s="316" t="s">
        <v>14</v>
      </c>
    </row>
    <row r="6" spans="1:13" ht="12" customHeight="1">
      <c r="A6" s="319"/>
      <c r="B6" s="320"/>
      <c r="C6" s="321"/>
      <c r="D6" s="321"/>
      <c r="E6" s="322"/>
      <c r="F6" s="302"/>
      <c r="G6" s="323"/>
      <c r="H6" s="324" t="s">
        <v>15</v>
      </c>
      <c r="I6" s="324" t="s">
        <v>16</v>
      </c>
      <c r="J6" s="325" t="s">
        <v>17</v>
      </c>
      <c r="K6" s="320" t="s">
        <v>18</v>
      </c>
      <c r="L6" s="320" t="s">
        <v>19</v>
      </c>
      <c r="M6" s="321"/>
    </row>
    <row r="7" spans="1:13" ht="12" customHeight="1">
      <c r="A7" s="326" t="s">
        <v>20</v>
      </c>
      <c r="B7" s="327" t="s">
        <v>21</v>
      </c>
      <c r="C7" s="327" t="s">
        <v>22</v>
      </c>
      <c r="D7" s="327" t="s">
        <v>23</v>
      </c>
      <c r="E7" s="327" t="s">
        <v>23</v>
      </c>
      <c r="F7" s="328" t="s">
        <v>24</v>
      </c>
      <c r="G7" s="329" t="s">
        <v>25</v>
      </c>
      <c r="H7" s="329" t="s">
        <v>26</v>
      </c>
      <c r="I7" s="329" t="s">
        <v>27</v>
      </c>
      <c r="J7" s="326" t="s">
        <v>28</v>
      </c>
      <c r="K7" s="327" t="s">
        <v>29</v>
      </c>
      <c r="L7" s="327" t="s">
        <v>30</v>
      </c>
      <c r="M7" s="327" t="s">
        <v>31</v>
      </c>
    </row>
    <row r="8" spans="1:13" ht="12" customHeight="1">
      <c r="A8" s="326" t="s">
        <v>148</v>
      </c>
      <c r="B8" s="327" t="s">
        <v>149</v>
      </c>
      <c r="C8" s="330" t="s">
        <v>150</v>
      </c>
      <c r="D8" s="331"/>
      <c r="E8" s="273">
        <f>SUM(F8:M8)</f>
        <v>0</v>
      </c>
      <c r="F8" s="332"/>
      <c r="G8" s="333"/>
      <c r="H8" s="334"/>
      <c r="I8" s="331"/>
      <c r="J8" s="331"/>
      <c r="K8" s="331"/>
      <c r="L8" s="331"/>
      <c r="M8" s="331"/>
    </row>
    <row r="9" spans="1:13" ht="12" customHeight="1">
      <c r="A9" s="326" t="s">
        <v>151</v>
      </c>
      <c r="B9" s="327"/>
      <c r="C9" s="330"/>
      <c r="D9" s="335"/>
      <c r="E9" s="335"/>
      <c r="F9" s="336"/>
      <c r="G9" s="337"/>
      <c r="H9" s="338"/>
      <c r="I9" s="335"/>
      <c r="J9" s="335"/>
      <c r="K9" s="335"/>
      <c r="L9" s="335"/>
      <c r="M9" s="335"/>
    </row>
    <row r="10" spans="1:13" ht="12" customHeight="1">
      <c r="A10" s="326" t="s">
        <v>152</v>
      </c>
      <c r="B10" s="327" t="s">
        <v>12</v>
      </c>
      <c r="C10" s="339" t="s">
        <v>153</v>
      </c>
      <c r="D10" s="340">
        <f>D8+'260'!D48</f>
        <v>0</v>
      </c>
      <c r="E10" s="340">
        <f>E8+'260'!E48</f>
        <v>0</v>
      </c>
      <c r="F10" s="340">
        <f>F8+'260'!F48</f>
        <v>0</v>
      </c>
      <c r="G10" s="340">
        <f>G8+'260'!G48</f>
        <v>0</v>
      </c>
      <c r="H10" s="340">
        <f>H8+'260'!H48</f>
        <v>0</v>
      </c>
      <c r="I10" s="340">
        <f>I8+'260'!I48</f>
        <v>0</v>
      </c>
      <c r="J10" s="340">
        <f>J8+'260'!J48</f>
        <v>0</v>
      </c>
      <c r="K10" s="340">
        <f>K8+'260'!K48</f>
        <v>0</v>
      </c>
      <c r="L10" s="340">
        <f>L8+'260'!L48</f>
        <v>0</v>
      </c>
      <c r="M10" s="340">
        <f>M8+'260'!M48</f>
        <v>0</v>
      </c>
    </row>
    <row r="11" spans="1:13" ht="12" customHeight="1">
      <c r="A11" s="326" t="s">
        <v>154</v>
      </c>
      <c r="B11" s="341"/>
      <c r="C11" s="342"/>
      <c r="D11" s="343"/>
      <c r="E11" s="343"/>
      <c r="F11" s="344"/>
      <c r="G11" s="345"/>
      <c r="H11" s="346"/>
      <c r="I11" s="343"/>
      <c r="J11" s="343"/>
      <c r="K11" s="343"/>
      <c r="L11" s="343"/>
      <c r="M11" s="343"/>
    </row>
    <row r="12" spans="1:13" ht="12" customHeight="1">
      <c r="A12" s="326" t="s">
        <v>155</v>
      </c>
      <c r="B12" s="327" t="s">
        <v>156</v>
      </c>
      <c r="C12" s="330" t="s">
        <v>262</v>
      </c>
      <c r="D12" s="347"/>
      <c r="E12" s="278">
        <f>SUM(F12:M12)</f>
        <v>0</v>
      </c>
      <c r="F12" s="348"/>
      <c r="G12" s="349"/>
      <c r="H12" s="350"/>
      <c r="I12" s="347"/>
      <c r="J12" s="347"/>
      <c r="K12" s="347"/>
      <c r="L12" s="347"/>
      <c r="M12" s="347"/>
    </row>
    <row r="13" spans="1:13" ht="12" customHeight="1">
      <c r="A13" s="326" t="s">
        <v>157</v>
      </c>
      <c r="B13" s="327" t="s">
        <v>158</v>
      </c>
      <c r="C13" s="330" t="s">
        <v>159</v>
      </c>
      <c r="D13" s="347"/>
      <c r="E13" s="278">
        <f>SUM(F13:M13)</f>
        <v>0</v>
      </c>
      <c r="F13" s="348"/>
      <c r="G13" s="349"/>
      <c r="H13" s="350"/>
      <c r="I13" s="347"/>
      <c r="J13" s="347"/>
      <c r="K13" s="347"/>
      <c r="L13" s="347"/>
      <c r="M13" s="347"/>
    </row>
    <row r="14" spans="1:13" ht="12" customHeight="1">
      <c r="A14" s="326" t="s">
        <v>160</v>
      </c>
      <c r="B14" s="327">
        <v>730</v>
      </c>
      <c r="C14" s="330" t="s">
        <v>261</v>
      </c>
      <c r="D14" s="347"/>
      <c r="E14" s="278">
        <f>SUM(F14:M14)</f>
        <v>0</v>
      </c>
      <c r="F14" s="348"/>
      <c r="G14" s="349"/>
      <c r="H14" s="350"/>
      <c r="I14" s="347"/>
      <c r="J14" s="347"/>
      <c r="K14" s="347"/>
      <c r="L14" s="347"/>
      <c r="M14" s="347"/>
    </row>
    <row r="15" spans="1:13" ht="12" customHeight="1">
      <c r="A15" s="326" t="s">
        <v>161</v>
      </c>
      <c r="B15" s="327"/>
      <c r="C15" s="330"/>
      <c r="D15" s="351"/>
      <c r="E15" s="351"/>
      <c r="F15" s="352"/>
      <c r="G15" s="353"/>
      <c r="H15" s="354"/>
      <c r="I15" s="355"/>
      <c r="J15" s="355"/>
      <c r="K15" s="355"/>
      <c r="L15" s="355"/>
      <c r="M15" s="355"/>
    </row>
    <row r="16" spans="1:22" ht="12" customHeight="1">
      <c r="A16" s="326" t="s">
        <v>163</v>
      </c>
      <c r="B16" s="327" t="s">
        <v>13</v>
      </c>
      <c r="C16" s="330" t="s">
        <v>162</v>
      </c>
      <c r="D16" s="356">
        <f aca="true" t="shared" si="0" ref="D16:M16">SUM(D12:D14)</f>
        <v>0</v>
      </c>
      <c r="E16" s="357">
        <f t="shared" si="0"/>
        <v>0</v>
      </c>
      <c r="F16" s="358">
        <f t="shared" si="0"/>
        <v>0</v>
      </c>
      <c r="G16" s="358">
        <f t="shared" si="0"/>
        <v>0</v>
      </c>
      <c r="H16" s="358">
        <f t="shared" si="0"/>
        <v>0</v>
      </c>
      <c r="I16" s="358">
        <f t="shared" si="0"/>
        <v>0</v>
      </c>
      <c r="J16" s="358">
        <f t="shared" si="0"/>
        <v>0</v>
      </c>
      <c r="K16" s="358">
        <f t="shared" si="0"/>
        <v>0</v>
      </c>
      <c r="L16" s="358">
        <f t="shared" si="0"/>
        <v>0</v>
      </c>
      <c r="M16" s="358">
        <f t="shared" si="0"/>
        <v>0</v>
      </c>
      <c r="N16" s="359"/>
      <c r="O16" s="359"/>
      <c r="P16" s="359"/>
      <c r="Q16" s="359"/>
      <c r="R16" s="359"/>
      <c r="S16" s="359"/>
      <c r="T16" s="359"/>
      <c r="U16" s="359"/>
      <c r="V16" s="359"/>
    </row>
    <row r="17" spans="1:13" ht="12" customHeight="1">
      <c r="A17" s="326" t="s">
        <v>164</v>
      </c>
      <c r="B17" s="327"/>
      <c r="C17" s="330"/>
      <c r="D17" s="351"/>
      <c r="E17" s="351"/>
      <c r="F17" s="360"/>
      <c r="G17" s="361"/>
      <c r="H17" s="362"/>
      <c r="I17" s="351"/>
      <c r="J17" s="351"/>
      <c r="K17" s="351"/>
      <c r="L17" s="351"/>
      <c r="M17" s="351"/>
    </row>
    <row r="18" spans="1:13" ht="12" customHeight="1">
      <c r="A18" s="326" t="s">
        <v>166</v>
      </c>
      <c r="B18" s="327" t="s">
        <v>165</v>
      </c>
      <c r="C18" s="330" t="s">
        <v>274</v>
      </c>
      <c r="D18" s="347"/>
      <c r="E18" s="278">
        <f>SUM(F18:M18)</f>
        <v>0</v>
      </c>
      <c r="F18" s="348"/>
      <c r="G18" s="349"/>
      <c r="H18" s="350"/>
      <c r="I18" s="347"/>
      <c r="J18" s="347"/>
      <c r="K18" s="347"/>
      <c r="L18" s="347"/>
      <c r="M18" s="347"/>
    </row>
    <row r="19" spans="1:13" ht="14.25" customHeight="1">
      <c r="A19" s="326" t="s">
        <v>167</v>
      </c>
      <c r="B19" s="327">
        <v>811</v>
      </c>
      <c r="C19" s="330" t="s">
        <v>273</v>
      </c>
      <c r="D19" s="347"/>
      <c r="E19" s="278">
        <f>SUM(F19:M19)</f>
        <v>0</v>
      </c>
      <c r="F19" s="348"/>
      <c r="G19" s="349"/>
      <c r="H19" s="350"/>
      <c r="I19" s="347"/>
      <c r="J19" s="347"/>
      <c r="K19" s="347"/>
      <c r="L19" s="347"/>
      <c r="M19" s="347"/>
    </row>
    <row r="20" spans="1:13" ht="12" customHeight="1">
      <c r="A20" s="326" t="s">
        <v>168</v>
      </c>
      <c r="B20" s="327"/>
      <c r="C20" s="330"/>
      <c r="D20" s="355"/>
      <c r="E20" s="355"/>
      <c r="F20" s="352"/>
      <c r="G20" s="353"/>
      <c r="H20" s="354"/>
      <c r="I20" s="355"/>
      <c r="J20" s="355"/>
      <c r="K20" s="355"/>
      <c r="L20" s="355"/>
      <c r="M20" s="355"/>
    </row>
    <row r="21" spans="1:13" s="365" customFormat="1" ht="12" customHeight="1">
      <c r="A21" s="326" t="s">
        <v>171</v>
      </c>
      <c r="B21" s="363">
        <v>800</v>
      </c>
      <c r="C21" s="364" t="s">
        <v>267</v>
      </c>
      <c r="D21" s="358">
        <f aca="true" t="shared" si="1" ref="D21:M21">SUM(D17:D19)</f>
        <v>0</v>
      </c>
      <c r="E21" s="358">
        <f t="shared" si="1"/>
        <v>0</v>
      </c>
      <c r="F21" s="358">
        <f t="shared" si="1"/>
        <v>0</v>
      </c>
      <c r="G21" s="358">
        <f t="shared" si="1"/>
        <v>0</v>
      </c>
      <c r="H21" s="358">
        <f t="shared" si="1"/>
        <v>0</v>
      </c>
      <c r="I21" s="358">
        <f t="shared" si="1"/>
        <v>0</v>
      </c>
      <c r="J21" s="358">
        <f t="shared" si="1"/>
        <v>0</v>
      </c>
      <c r="K21" s="358">
        <f t="shared" si="1"/>
        <v>0</v>
      </c>
      <c r="L21" s="358">
        <f t="shared" si="1"/>
        <v>0</v>
      </c>
      <c r="M21" s="358">
        <f t="shared" si="1"/>
        <v>0</v>
      </c>
    </row>
    <row r="22" spans="1:13" ht="12" customHeight="1">
      <c r="A22" s="326" t="s">
        <v>173</v>
      </c>
      <c r="B22" s="327"/>
      <c r="C22" s="330"/>
      <c r="D22" s="351"/>
      <c r="E22" s="351"/>
      <c r="F22" s="360"/>
      <c r="G22" s="361"/>
      <c r="H22" s="362"/>
      <c r="I22" s="351"/>
      <c r="J22" s="351"/>
      <c r="K22" s="351"/>
      <c r="L22" s="351"/>
      <c r="M22" s="351"/>
    </row>
    <row r="23" spans="1:13" ht="12" customHeight="1">
      <c r="A23" s="326" t="s">
        <v>176</v>
      </c>
      <c r="B23" s="327" t="s">
        <v>169</v>
      </c>
      <c r="C23" s="330" t="s">
        <v>170</v>
      </c>
      <c r="D23" s="277"/>
      <c r="E23" s="278">
        <f>SUM(F23:M23)</f>
        <v>0</v>
      </c>
      <c r="F23" s="348"/>
      <c r="G23" s="349"/>
      <c r="H23" s="350"/>
      <c r="I23" s="347"/>
      <c r="J23" s="347"/>
      <c r="K23" s="347"/>
      <c r="L23" s="347"/>
      <c r="M23" s="347"/>
    </row>
    <row r="24" spans="1:13" ht="12" customHeight="1">
      <c r="A24" s="326" t="s">
        <v>179</v>
      </c>
      <c r="B24" s="327" t="s">
        <v>172</v>
      </c>
      <c r="C24" s="330" t="s">
        <v>318</v>
      </c>
      <c r="D24" s="277"/>
      <c r="E24" s="278">
        <f>SUM(F24:M24)</f>
        <v>0</v>
      </c>
      <c r="F24" s="348" t="s">
        <v>146</v>
      </c>
      <c r="G24" s="349"/>
      <c r="H24" s="350"/>
      <c r="I24" s="347"/>
      <c r="J24" s="347"/>
      <c r="K24" s="347"/>
      <c r="L24" s="347"/>
      <c r="M24" s="347"/>
    </row>
    <row r="25" spans="1:13" ht="12" customHeight="1">
      <c r="A25" s="326" t="s">
        <v>180</v>
      </c>
      <c r="B25" s="327" t="s">
        <v>174</v>
      </c>
      <c r="C25" s="330" t="s">
        <v>175</v>
      </c>
      <c r="D25" s="277"/>
      <c r="E25" s="278">
        <f>SUM(F25:M25)</f>
        <v>0</v>
      </c>
      <c r="F25" s="348"/>
      <c r="G25" s="349"/>
      <c r="H25" s="350"/>
      <c r="I25" s="347"/>
      <c r="J25" s="347"/>
      <c r="K25" s="347"/>
      <c r="L25" s="347"/>
      <c r="M25" s="347"/>
    </row>
    <row r="26" spans="1:13" ht="12" customHeight="1">
      <c r="A26" s="326" t="s">
        <v>183</v>
      </c>
      <c r="B26" s="327" t="s">
        <v>177</v>
      </c>
      <c r="C26" s="330" t="s">
        <v>178</v>
      </c>
      <c r="D26" s="277"/>
      <c r="E26" s="278">
        <f>SUM(F26:M26)</f>
        <v>0</v>
      </c>
      <c r="F26" s="348"/>
      <c r="G26" s="349"/>
      <c r="H26" s="350"/>
      <c r="I26" s="347"/>
      <c r="J26" s="347"/>
      <c r="K26" s="347"/>
      <c r="L26" s="347"/>
      <c r="M26" s="347"/>
    </row>
    <row r="27" spans="1:13" ht="12" customHeight="1">
      <c r="A27" s="326" t="s">
        <v>184</v>
      </c>
      <c r="B27" s="327"/>
      <c r="C27" s="330"/>
      <c r="D27" s="366"/>
      <c r="E27" s="366"/>
      <c r="F27" s="367"/>
      <c r="G27" s="368"/>
      <c r="H27" s="369"/>
      <c r="I27" s="370"/>
      <c r="J27" s="370"/>
      <c r="K27" s="370"/>
      <c r="L27" s="370"/>
      <c r="M27" s="370"/>
    </row>
    <row r="28" spans="1:55" ht="12" customHeight="1">
      <c r="A28" s="326" t="s">
        <v>185</v>
      </c>
      <c r="B28" s="327" t="s">
        <v>181</v>
      </c>
      <c r="C28" s="330" t="s">
        <v>182</v>
      </c>
      <c r="D28" s="356">
        <f aca="true" t="shared" si="2" ref="D28:M28">SUM(D23:D27)</f>
        <v>0</v>
      </c>
      <c r="E28" s="357">
        <f t="shared" si="2"/>
        <v>0</v>
      </c>
      <c r="F28" s="358">
        <f t="shared" si="2"/>
        <v>0</v>
      </c>
      <c r="G28" s="358">
        <f t="shared" si="2"/>
        <v>0</v>
      </c>
      <c r="H28" s="358">
        <f t="shared" si="2"/>
        <v>0</v>
      </c>
      <c r="I28" s="358">
        <f t="shared" si="2"/>
        <v>0</v>
      </c>
      <c r="J28" s="358">
        <f t="shared" si="2"/>
        <v>0</v>
      </c>
      <c r="K28" s="358">
        <f t="shared" si="2"/>
        <v>0</v>
      </c>
      <c r="L28" s="358">
        <f t="shared" si="2"/>
        <v>0</v>
      </c>
      <c r="M28" s="358">
        <f t="shared" si="2"/>
        <v>0</v>
      </c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59"/>
      <c r="AU28" s="359"/>
      <c r="AV28" s="359"/>
      <c r="AW28" s="359"/>
      <c r="AX28" s="359"/>
      <c r="AY28" s="359"/>
      <c r="AZ28" s="359"/>
      <c r="BA28" s="359"/>
      <c r="BB28" s="359"/>
      <c r="BC28" s="359"/>
    </row>
    <row r="29" spans="1:13" ht="12" customHeight="1">
      <c r="A29" s="326" t="s">
        <v>187</v>
      </c>
      <c r="B29" s="327"/>
      <c r="C29" s="330"/>
      <c r="D29" s="366"/>
      <c r="E29" s="366"/>
      <c r="F29" s="366"/>
      <c r="G29" s="366"/>
      <c r="H29" s="366"/>
      <c r="I29" s="366"/>
      <c r="J29" s="366"/>
      <c r="K29" s="366"/>
      <c r="L29" s="366"/>
      <c r="M29" s="366"/>
    </row>
    <row r="30" spans="1:13" ht="12" customHeight="1">
      <c r="A30" s="326" t="s">
        <v>188</v>
      </c>
      <c r="B30" s="320"/>
      <c r="C30" s="321" t="s">
        <v>186</v>
      </c>
      <c r="D30" s="371"/>
      <c r="E30" s="371"/>
      <c r="F30" s="371"/>
      <c r="G30" s="371"/>
      <c r="H30" s="371"/>
      <c r="I30" s="371"/>
      <c r="J30" s="371"/>
      <c r="K30" s="371"/>
      <c r="L30" s="371"/>
      <c r="M30" s="371"/>
    </row>
    <row r="31" spans="1:13" ht="12" customHeight="1">
      <c r="A31" s="326" t="s">
        <v>189</v>
      </c>
      <c r="B31" s="327"/>
      <c r="C31" s="372" t="s">
        <v>271</v>
      </c>
      <c r="D31" s="373">
        <f>SUM(D28,D21,D16,D10,'260'!D21)</f>
        <v>0</v>
      </c>
      <c r="E31" s="373">
        <f>SUM(E28,E21,E16,E10,'260'!E21)</f>
        <v>0</v>
      </c>
      <c r="F31" s="373">
        <f>SUM(F28,F21,F16,F10,'260'!F21)</f>
        <v>0</v>
      </c>
      <c r="G31" s="373">
        <f>SUM(G28,G21,G16,G10,'260'!G21)</f>
        <v>0</v>
      </c>
      <c r="H31" s="373">
        <f>SUM(H28,H21,H16,H10,'260'!H21)</f>
        <v>0</v>
      </c>
      <c r="I31" s="373">
        <f>SUM(I28,I21,I16,I10,'260'!I21)</f>
        <v>0</v>
      </c>
      <c r="J31" s="373">
        <f>SUM(J28,J21,J16,J10,'260'!J21)</f>
        <v>0</v>
      </c>
      <c r="K31" s="373">
        <f>SUM(K28,K21,K16,K10,'260'!K21)</f>
        <v>0</v>
      </c>
      <c r="L31" s="373">
        <f>SUM(L28,L21,L16,L10,'260'!L21)</f>
        <v>0</v>
      </c>
      <c r="M31" s="373">
        <f>SUM(M28,M21,M16,M10,'260'!M21)</f>
        <v>0</v>
      </c>
    </row>
    <row r="32" spans="1:13" ht="12" customHeight="1">
      <c r="A32" s="326" t="s">
        <v>190</v>
      </c>
      <c r="B32" s="327"/>
      <c r="C32" s="330"/>
      <c r="D32" s="374"/>
      <c r="E32" s="374"/>
      <c r="F32" s="375"/>
      <c r="G32" s="376"/>
      <c r="H32" s="377"/>
      <c r="I32" s="374"/>
      <c r="J32" s="374"/>
      <c r="K32" s="374"/>
      <c r="L32" s="374"/>
      <c r="M32" s="374"/>
    </row>
    <row r="33" spans="1:13" ht="8.25" customHeight="1">
      <c r="A33" s="326" t="s">
        <v>191</v>
      </c>
      <c r="B33" s="320"/>
      <c r="C33" s="321"/>
      <c r="D33" s="378"/>
      <c r="E33" s="378"/>
      <c r="M33" s="322"/>
    </row>
    <row r="34" spans="1:13" ht="12" customHeight="1">
      <c r="A34" s="326" t="s">
        <v>192</v>
      </c>
      <c r="B34" s="327"/>
      <c r="C34" s="379" t="s">
        <v>146</v>
      </c>
      <c r="D34" s="380"/>
      <c r="E34" s="380"/>
      <c r="M34" s="322"/>
    </row>
    <row r="35" spans="1:13" ht="12" customHeight="1">
      <c r="A35" s="326" t="s">
        <v>195</v>
      </c>
      <c r="B35" s="327"/>
      <c r="C35" s="342"/>
      <c r="D35" s="366"/>
      <c r="E35" s="366"/>
      <c r="M35" s="322"/>
    </row>
    <row r="36" spans="1:13" ht="12" customHeight="1">
      <c r="A36" s="326" t="s">
        <v>196</v>
      </c>
      <c r="B36" s="320"/>
      <c r="C36" s="321"/>
      <c r="D36" s="424"/>
      <c r="E36" s="424"/>
      <c r="M36" s="322"/>
    </row>
    <row r="37" spans="1:13" ht="12" customHeight="1">
      <c r="A37" s="326" t="s">
        <v>198</v>
      </c>
      <c r="B37" s="327"/>
      <c r="C37" s="379" t="s">
        <v>146</v>
      </c>
      <c r="D37" s="425"/>
      <c r="E37" s="425"/>
      <c r="M37" s="322"/>
    </row>
    <row r="38" spans="1:13" ht="12" customHeight="1">
      <c r="A38" s="326" t="s">
        <v>200</v>
      </c>
      <c r="B38" s="320"/>
      <c r="C38" s="321"/>
      <c r="D38" s="371"/>
      <c r="E38" s="371"/>
      <c r="M38" s="322"/>
    </row>
    <row r="39" spans="1:13" ht="12" customHeight="1" thickBot="1">
      <c r="A39" s="326" t="s">
        <v>201</v>
      </c>
      <c r="B39" s="320"/>
      <c r="C39" s="321"/>
      <c r="D39" s="371"/>
      <c r="E39" s="371"/>
      <c r="F39" s="381"/>
      <c r="G39" s="381"/>
      <c r="H39" s="381"/>
      <c r="I39" s="381"/>
      <c r="J39" s="381"/>
      <c r="M39" s="322"/>
    </row>
    <row r="40" spans="1:13" ht="12" customHeight="1">
      <c r="A40" s="329" t="s">
        <v>202</v>
      </c>
      <c r="B40" s="382"/>
      <c r="C40" s="383" t="s">
        <v>193</v>
      </c>
      <c r="D40" s="384"/>
      <c r="E40" s="385"/>
      <c r="G40" s="386"/>
      <c r="H40" s="386"/>
      <c r="I40" s="386"/>
      <c r="J40" s="381"/>
      <c r="L40" s="307"/>
      <c r="M40" s="322"/>
    </row>
    <row r="41" spans="1:13" ht="12" customHeight="1">
      <c r="A41" s="329" t="s">
        <v>204</v>
      </c>
      <c r="B41" s="387"/>
      <c r="C41" s="330"/>
      <c r="D41" s="371"/>
      <c r="E41" s="388"/>
      <c r="G41" s="386"/>
      <c r="H41" s="386"/>
      <c r="I41" s="386"/>
      <c r="J41" s="381"/>
      <c r="M41" s="322"/>
    </row>
    <row r="42" spans="1:13" ht="12" customHeight="1">
      <c r="A42" s="329" t="s">
        <v>206</v>
      </c>
      <c r="B42" s="387"/>
      <c r="C42" s="339" t="s">
        <v>197</v>
      </c>
      <c r="D42" s="301"/>
      <c r="E42" s="301"/>
      <c r="F42" s="386" t="s">
        <v>194</v>
      </c>
      <c r="G42" s="386"/>
      <c r="H42" s="386"/>
      <c r="I42" s="386"/>
      <c r="J42" s="381"/>
      <c r="M42" s="322"/>
    </row>
    <row r="43" spans="1:13" ht="12" customHeight="1">
      <c r="A43" s="329" t="s">
        <v>268</v>
      </c>
      <c r="B43" s="387"/>
      <c r="C43" s="339" t="s">
        <v>199</v>
      </c>
      <c r="D43" s="301"/>
      <c r="E43" s="301"/>
      <c r="F43" s="386"/>
      <c r="G43" s="381"/>
      <c r="H43" s="381"/>
      <c r="I43" s="381"/>
      <c r="J43" s="381"/>
      <c r="M43" s="322"/>
    </row>
    <row r="44" spans="1:13" ht="12" customHeight="1">
      <c r="A44" s="329" t="s">
        <v>269</v>
      </c>
      <c r="B44" s="387"/>
      <c r="C44" s="339" t="s">
        <v>285</v>
      </c>
      <c r="D44" s="301">
        <f>SUM(D42:D43)</f>
        <v>0</v>
      </c>
      <c r="E44" s="301">
        <f>SUM(E42:E43)</f>
        <v>0</v>
      </c>
      <c r="F44" s="389" t="s">
        <v>329</v>
      </c>
      <c r="G44" s="381"/>
      <c r="H44" s="381"/>
      <c r="I44" s="381"/>
      <c r="J44" s="381"/>
      <c r="M44" s="322"/>
    </row>
    <row r="45" spans="1:13" ht="12" customHeight="1">
      <c r="A45" s="329" t="s">
        <v>270</v>
      </c>
      <c r="B45" s="387"/>
      <c r="C45" s="330"/>
      <c r="D45" s="380"/>
      <c r="E45" s="390"/>
      <c r="F45" s="381"/>
      <c r="G45" s="381"/>
      <c r="H45" s="381"/>
      <c r="I45" s="381"/>
      <c r="J45" s="381"/>
      <c r="M45" s="322"/>
    </row>
    <row r="46" spans="1:13" ht="12" customHeight="1">
      <c r="A46" s="329" t="s">
        <v>283</v>
      </c>
      <c r="B46" s="387"/>
      <c r="C46" s="330" t="s">
        <v>203</v>
      </c>
      <c r="D46" s="391">
        <f>D31</f>
        <v>0</v>
      </c>
      <c r="E46" s="392">
        <f>E31</f>
        <v>0</v>
      </c>
      <c r="F46" s="381"/>
      <c r="G46" s="381"/>
      <c r="H46" s="381"/>
      <c r="I46" s="381"/>
      <c r="J46" s="381"/>
      <c r="M46" s="322"/>
    </row>
    <row r="47" spans="1:13" ht="12" customHeight="1">
      <c r="A47" s="329" t="s">
        <v>284</v>
      </c>
      <c r="B47" s="387"/>
      <c r="C47" s="330" t="s">
        <v>205</v>
      </c>
      <c r="D47" s="393"/>
      <c r="E47" s="394"/>
      <c r="M47" s="322"/>
    </row>
    <row r="48" spans="1:13" ht="17.25" customHeight="1" thickBot="1">
      <c r="A48" s="329" t="s">
        <v>288</v>
      </c>
      <c r="B48" s="395"/>
      <c r="C48" s="396" t="s">
        <v>286</v>
      </c>
      <c r="D48" s="397">
        <f>SUM(D46:D47)</f>
        <v>0</v>
      </c>
      <c r="E48" s="398">
        <f>SUM(E46:E47)</f>
        <v>0</v>
      </c>
      <c r="F48" s="399"/>
      <c r="G48" s="400"/>
      <c r="H48" s="400"/>
      <c r="I48" s="400"/>
      <c r="J48" s="400"/>
      <c r="K48" s="400"/>
      <c r="L48" s="400"/>
      <c r="M48" s="342"/>
    </row>
    <row r="49" ht="15">
      <c r="A49" s="401" t="str">
        <f ca="1">CELL("FILENAME",A2)</f>
        <v>C:\Users\cchurch\Desktop\Documents\Budget\2017-2018 Budget\[Expenditures 2017-18.xls]260b</v>
      </c>
    </row>
  </sheetData>
  <sheetProtection/>
  <mergeCells count="2">
    <mergeCell ref="D36:D37"/>
    <mergeCell ref="E36:E3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E3" sqref="E3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9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307</v>
      </c>
    </row>
    <row r="2" spans="5:13" ht="15.75">
      <c r="E2" s="1" t="s">
        <v>2</v>
      </c>
      <c r="F2" s="2"/>
      <c r="G2" s="2"/>
      <c r="L2" s="19"/>
      <c r="M2" s="243" t="s">
        <v>336</v>
      </c>
    </row>
    <row r="3" spans="5:13" ht="15">
      <c r="E3" s="2" t="str">
        <f>Form!E3</f>
        <v>July 1, 2017 - June 30, 2018</v>
      </c>
      <c r="F3" s="2"/>
      <c r="G3" s="2"/>
      <c r="L3" s="20"/>
      <c r="M3" s="245" t="s">
        <v>321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2017-18.xls]261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E3" sqref="E3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2" width="11.10546875" style="0" customWidth="1"/>
    <col min="13" max="13" width="11.88671875" style="0" customWidth="1"/>
  </cols>
  <sheetData>
    <row r="1" spans="1:13" ht="15.75">
      <c r="A1" s="244" t="s">
        <v>0</v>
      </c>
      <c r="B1" s="128"/>
      <c r="C1" s="144"/>
      <c r="E1" s="41" t="s">
        <v>1</v>
      </c>
      <c r="F1" s="28"/>
      <c r="G1" s="28"/>
      <c r="H1" s="28"/>
      <c r="L1" s="17"/>
      <c r="M1" s="84" t="s">
        <v>263</v>
      </c>
    </row>
    <row r="2" spans="5:13" ht="15.75">
      <c r="E2" s="41" t="s">
        <v>2</v>
      </c>
      <c r="F2" s="28"/>
      <c r="G2" s="28"/>
      <c r="H2" s="42"/>
      <c r="K2" s="85"/>
      <c r="L2" s="86"/>
      <c r="M2" s="243" t="s">
        <v>336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245" t="s">
        <v>321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+D8+'261'!D48</f>
        <v>0</v>
      </c>
      <c r="E10" s="184">
        <f>+E8+'261'!E48</f>
        <v>0</v>
      </c>
      <c r="F10" s="184">
        <f>+F8+'261'!F48</f>
        <v>0</v>
      </c>
      <c r="G10" s="184">
        <f>+G8+'261'!G48</f>
        <v>0</v>
      </c>
      <c r="H10" s="184">
        <f>+H8+'261'!H48</f>
        <v>0</v>
      </c>
      <c r="I10" s="184">
        <f>+I8+'261'!I48</f>
        <v>0</v>
      </c>
      <c r="J10" s="184">
        <f>+J8+'261'!J48</f>
        <v>0</v>
      </c>
      <c r="K10" s="184">
        <f>+K8+'261'!K48</f>
        <v>0</v>
      </c>
      <c r="L10" s="184">
        <f>+L8+'261'!L48</f>
        <v>0</v>
      </c>
      <c r="M10" s="184">
        <f>+M8+'261'!M48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SUM(D28,D21,D16,D10,'261'!D21)</f>
        <v>0</v>
      </c>
      <c r="E31" s="202">
        <f>SUM(E28,E21,E16,E10,'261'!E21)</f>
        <v>0</v>
      </c>
      <c r="F31" s="202">
        <f>SUM(F28,F21,F16,F10,'261'!F21)</f>
        <v>0</v>
      </c>
      <c r="G31" s="202">
        <f>SUM(G28,G21,G16,G10,'261'!G21)</f>
        <v>0</v>
      </c>
      <c r="H31" s="202">
        <f>SUM(H28,H21,H16,H10,'261'!H21)</f>
        <v>0</v>
      </c>
      <c r="I31" s="202">
        <f>SUM(I28,I21,I16,I10,'261'!I21)</f>
        <v>0</v>
      </c>
      <c r="J31" s="202">
        <f>SUM(J28,J21,J16,J10,'261'!J21)</f>
        <v>0</v>
      </c>
      <c r="K31" s="202">
        <f>SUM(K28,K21,K16,K10,'261'!K21)</f>
        <v>0</v>
      </c>
      <c r="L31" s="202">
        <f>SUM(L28,L21,L16,L10,'261'!L21)</f>
        <v>0</v>
      </c>
      <c r="M31" s="202">
        <f>SUM(M28,M21,M16,M10,'261'!M21)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2017-18.xls]261b</v>
      </c>
    </row>
  </sheetData>
  <sheetProtection/>
  <mergeCells count="2">
    <mergeCell ref="D36:D37"/>
    <mergeCell ref="E36:E37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E3" sqref="E3"/>
    </sheetView>
  </sheetViews>
  <sheetFormatPr defaultColWidth="8.88671875" defaultRowHeight="15"/>
  <cols>
    <col min="1" max="1" width="4.88671875" style="0" customWidth="1"/>
    <col min="2" max="2" width="7.77734375" style="0" customWidth="1"/>
    <col min="3" max="3" width="27.77734375" style="0" customWidth="1"/>
    <col min="4" max="6" width="11.77734375" style="0" customWidth="1"/>
    <col min="7" max="9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222</v>
      </c>
    </row>
    <row r="2" spans="5:13" ht="15.75">
      <c r="E2" s="1" t="s">
        <v>2</v>
      </c>
      <c r="F2" s="2"/>
      <c r="G2" s="2"/>
      <c r="J2" s="20"/>
      <c r="K2" s="20"/>
      <c r="L2" s="19"/>
      <c r="M2" s="402" t="s">
        <v>332</v>
      </c>
    </row>
    <row r="3" spans="5:13" ht="15">
      <c r="E3" s="2" t="str">
        <f>Form!E3</f>
        <v>July 1, 2017 - June 30, 2018</v>
      </c>
      <c r="F3" s="2"/>
      <c r="G3" s="2"/>
      <c r="K3" s="20"/>
      <c r="L3" s="20"/>
      <c r="M3" s="402" t="s">
        <v>255</v>
      </c>
    </row>
    <row r="4" spans="1:13" ht="15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2017-18.xls]262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2" customHeight="1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printOptions horizontalCentered="1" verticalCentered="1"/>
  <pageMargins left="0.25" right="0.25" top="0" bottom="0" header="0.26" footer="0.5"/>
  <pageSetup fitToHeight="1" fitToWidth="1" horizontalDpi="600" verticalDpi="600" orientation="landscape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E3" sqref="E3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3" width="11.10546875" style="0" customWidth="1"/>
  </cols>
  <sheetData>
    <row r="1" spans="1:13" ht="15.75">
      <c r="A1" s="244" t="s">
        <v>0</v>
      </c>
      <c r="B1" s="16"/>
      <c r="C1" s="143"/>
      <c r="E1" s="41" t="s">
        <v>1</v>
      </c>
      <c r="F1" s="28"/>
      <c r="G1" s="28"/>
      <c r="H1" s="28"/>
      <c r="L1" s="17"/>
      <c r="M1" s="84" t="s">
        <v>308</v>
      </c>
    </row>
    <row r="2" spans="5:13" ht="15.75">
      <c r="E2" s="41" t="s">
        <v>2</v>
      </c>
      <c r="F2" s="28"/>
      <c r="G2" s="28"/>
      <c r="H2" s="42"/>
      <c r="K2" s="85"/>
      <c r="L2" s="86"/>
      <c r="M2" s="402" t="s">
        <v>332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402" t="s">
        <v>255</v>
      </c>
    </row>
    <row r="4" spans="1:12" ht="15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+D8+'262'!D48</f>
        <v>0</v>
      </c>
      <c r="E10" s="184">
        <f>+E8+'262'!E48</f>
        <v>0</v>
      </c>
      <c r="F10" s="184">
        <f>+F8+'262'!F48</f>
        <v>0</v>
      </c>
      <c r="G10" s="184">
        <f>+G8+'262'!G48</f>
        <v>0</v>
      </c>
      <c r="H10" s="184">
        <f>+H8+'262'!H48</f>
        <v>0</v>
      </c>
      <c r="I10" s="184">
        <f>+I8+'262'!I48</f>
        <v>0</v>
      </c>
      <c r="J10" s="184">
        <f>+J8+'262'!J48</f>
        <v>0</v>
      </c>
      <c r="K10" s="184">
        <f>+K8+'262'!K48</f>
        <v>0</v>
      </c>
      <c r="L10" s="184">
        <f>+L8+'262'!L48</f>
        <v>0</v>
      </c>
      <c r="M10" s="184">
        <f>+M8+'262'!M48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SUM(D28,D21,D16,D10,'262'!D21)</f>
        <v>0</v>
      </c>
      <c r="E31" s="202">
        <f>SUM(E28,E21,E16,E10,'262'!E21)</f>
        <v>0</v>
      </c>
      <c r="F31" s="202">
        <f>SUM(F28,F21,F16,F10,'262'!F21)</f>
        <v>0</v>
      </c>
      <c r="G31" s="202">
        <f>SUM(G28,G21,G16,G10,'262'!G21)</f>
        <v>0</v>
      </c>
      <c r="H31" s="202">
        <f>SUM(H28,H21,H16,H10,'262'!H21)</f>
        <v>0</v>
      </c>
      <c r="I31" s="202">
        <f>SUM(I28,I21,I16,I10,'262'!I21)</f>
        <v>0</v>
      </c>
      <c r="J31" s="202">
        <f>SUM(J28,J21,J16,J10,'262'!J21)</f>
        <v>0</v>
      </c>
      <c r="K31" s="202">
        <f>SUM(K28,K21,K16,K10,'262'!K21)</f>
        <v>0</v>
      </c>
      <c r="L31" s="202">
        <f>SUM(L28,L21,L16,L10,'262'!L21)</f>
        <v>0</v>
      </c>
      <c r="M31" s="202">
        <f>SUM(M28,M21,M16,M10,'262'!M21)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2017-18.xls]262b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" footer="0"/>
  <pageSetup fitToHeight="1" fitToWidth="1" horizontalDpi="600" verticalDpi="600" orientation="landscape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314</v>
      </c>
    </row>
    <row r="2" spans="5:13" ht="15.75">
      <c r="E2" s="1" t="s">
        <v>2</v>
      </c>
      <c r="F2" s="2"/>
      <c r="G2" s="2"/>
      <c r="L2" s="19"/>
      <c r="M2" s="245" t="s">
        <v>334</v>
      </c>
    </row>
    <row r="3" spans="5:13" ht="15">
      <c r="E3" s="2" t="str">
        <f>Form!E3</f>
        <v>July 1, 2017 - June 30, 2018</v>
      </c>
      <c r="F3" s="2"/>
      <c r="G3" s="2"/>
      <c r="L3" s="19"/>
      <c r="M3" s="25" t="s">
        <v>140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>
        <v>23026</v>
      </c>
      <c r="E9" s="98">
        <f t="shared" si="0"/>
        <v>23026</v>
      </c>
      <c r="F9" s="99">
        <v>959</v>
      </c>
      <c r="G9" s="100">
        <f>110+72+11</f>
        <v>193</v>
      </c>
      <c r="H9" s="101">
        <f>850+1500</f>
        <v>2350</v>
      </c>
      <c r="I9" s="97">
        <v>13524</v>
      </c>
      <c r="J9" s="97">
        <v>6000</v>
      </c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23026</v>
      </c>
      <c r="E21" s="200">
        <f t="shared" si="1"/>
        <v>23026</v>
      </c>
      <c r="F21" s="200">
        <f t="shared" si="1"/>
        <v>959</v>
      </c>
      <c r="G21" s="200">
        <f t="shared" si="1"/>
        <v>193</v>
      </c>
      <c r="H21" s="200">
        <f t="shared" si="1"/>
        <v>2350</v>
      </c>
      <c r="I21" s="200">
        <f t="shared" si="1"/>
        <v>13524</v>
      </c>
      <c r="J21" s="200">
        <f t="shared" si="1"/>
        <v>6000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2017-18.xls]263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2" width="11.10546875" style="0" customWidth="1"/>
    <col min="13" max="13" width="11.88671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223</v>
      </c>
    </row>
    <row r="2" spans="5:13" ht="15.75">
      <c r="E2" s="41" t="s">
        <v>2</v>
      </c>
      <c r="F2" s="28"/>
      <c r="G2" s="28"/>
      <c r="H2" s="42"/>
      <c r="K2" s="85"/>
      <c r="L2" s="86"/>
      <c r="M2" s="245" t="s">
        <v>334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236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+D8+'263'!D48</f>
        <v>0</v>
      </c>
      <c r="E10" s="184">
        <f>+E8+'263'!E48</f>
        <v>0</v>
      </c>
      <c r="F10" s="184">
        <f>+F8+'263'!F48</f>
        <v>0</v>
      </c>
      <c r="G10" s="184">
        <f>+G8+'263'!G48</f>
        <v>0</v>
      </c>
      <c r="H10" s="184">
        <f>+H8+'263'!H48</f>
        <v>0</v>
      </c>
      <c r="I10" s="184">
        <f>+I8+'263'!I48</f>
        <v>0</v>
      </c>
      <c r="J10" s="184">
        <f>+J8+'263'!J48</f>
        <v>0</v>
      </c>
      <c r="K10" s="184">
        <f>+K8+'263'!K48</f>
        <v>0</v>
      </c>
      <c r="L10" s="184">
        <f>+L8+'263'!L48</f>
        <v>0</v>
      </c>
      <c r="M10" s="184">
        <f>+M8+'263'!M48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SUM(D28,D21,D16,D10,'263'!D21)</f>
        <v>23026</v>
      </c>
      <c r="E31" s="202">
        <f>SUM(E28,E21,E16,E10,'263'!E21)</f>
        <v>23026</v>
      </c>
      <c r="F31" s="202">
        <f>SUM(F28,F21,F16,F10,'263'!F21)</f>
        <v>959</v>
      </c>
      <c r="G31" s="202">
        <f>SUM(G28,G21,G16,G10,'263'!G21)</f>
        <v>193</v>
      </c>
      <c r="H31" s="202">
        <f>SUM(H28,H21,H16,H10,'263'!H21)</f>
        <v>2350</v>
      </c>
      <c r="I31" s="202">
        <f>SUM(I28,I21,I16,I10,'263'!I21)</f>
        <v>13524</v>
      </c>
      <c r="J31" s="202">
        <f>SUM(J28,J21,J16,J10,'263'!J21)</f>
        <v>6000</v>
      </c>
      <c r="K31" s="202">
        <f>SUM(K28,K21,K16,K10,'263'!K21)</f>
        <v>0</v>
      </c>
      <c r="L31" s="202">
        <f>SUM(L28,L21,L16,L10,'263'!L21)</f>
        <v>0</v>
      </c>
      <c r="M31" s="202">
        <f>SUM(M28,M21,M16,M10,'263'!M21)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0</v>
      </c>
      <c r="E42" s="419">
        <f>0.63-0.08</f>
        <v>0.55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23026</v>
      </c>
      <c r="E43" s="193">
        <f>+E31</f>
        <v>23026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23026</v>
      </c>
      <c r="E44" s="193">
        <f>SUM(E42:E43)</f>
        <v>23026.55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23026</v>
      </c>
      <c r="E46" s="190">
        <f>E31</f>
        <v>23026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419">
        <f>0.63-0.08</f>
        <v>0.55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23026</v>
      </c>
      <c r="E48" s="197">
        <f>SUM(E46:E47)</f>
        <v>23026.55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2017-18.xls]263b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" top="0" bottom="0" header="0.5" footer="0.5"/>
  <pageSetup fitToHeight="1" fitToWidth="1" horizontalDpi="600" verticalDpi="600" orientation="landscape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315</v>
      </c>
    </row>
    <row r="2" spans="5:13" ht="15.75">
      <c r="E2" s="1" t="s">
        <v>2</v>
      </c>
      <c r="F2" s="2"/>
      <c r="G2" s="2"/>
      <c r="L2" s="19"/>
      <c r="M2" s="245" t="s">
        <v>337</v>
      </c>
    </row>
    <row r="3" spans="5:13" ht="15">
      <c r="E3" s="2" t="str">
        <f>Form!E3</f>
        <v>July 1, 2017 - June 30, 2018</v>
      </c>
      <c r="F3" s="2"/>
      <c r="G3" s="2"/>
      <c r="L3" s="19"/>
      <c r="M3" s="25" t="s">
        <v>256</v>
      </c>
    </row>
    <row r="4" spans="1:13" ht="15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>
        <v>30811</v>
      </c>
      <c r="E26" s="98">
        <f>SUM(F26:M26)</f>
        <v>27314</v>
      </c>
      <c r="F26" s="432">
        <f>18938-1</f>
        <v>18937</v>
      </c>
      <c r="G26" s="433">
        <f>2144+1449+4564+220</f>
        <v>8377</v>
      </c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2017-18.xls]270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2" customHeight="1">
      <c r="C48" s="222" t="s">
        <v>291</v>
      </c>
      <c r="D48" s="193">
        <f aca="true" t="shared" si="3" ref="D48:M48">SUM(D23:D46)</f>
        <v>30811</v>
      </c>
      <c r="E48" s="193">
        <f t="shared" si="3"/>
        <v>27314</v>
      </c>
      <c r="F48" s="193">
        <f t="shared" si="3"/>
        <v>18937</v>
      </c>
      <c r="G48" s="193">
        <f t="shared" si="3"/>
        <v>8377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</sheetData>
  <sheetProtection/>
  <printOptions horizontalCentered="1" verticalCentered="1"/>
  <pageMargins left="0.25" right="0.25" top="0" bottom="0" header="0" footer="0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777343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29" t="s">
        <v>207</v>
      </c>
    </row>
    <row r="2" spans="5:13" ht="15.75">
      <c r="E2" s="41" t="s">
        <v>2</v>
      </c>
      <c r="F2" s="28"/>
      <c r="G2" s="28"/>
      <c r="H2" s="42"/>
      <c r="K2" s="19"/>
      <c r="L2" s="19"/>
      <c r="M2" s="25" t="s">
        <v>121</v>
      </c>
    </row>
    <row r="3" spans="5:13" ht="15" customHeight="1">
      <c r="E3" s="2" t="str">
        <f>Form!E3</f>
        <v>July 1, 2017 - June 30, 2018</v>
      </c>
      <c r="F3" s="2"/>
      <c r="G3" s="2"/>
      <c r="H3" s="42"/>
      <c r="J3" s="43" t="s">
        <v>146</v>
      </c>
      <c r="L3" s="19"/>
      <c r="M3" s="25" t="s">
        <v>208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+D8+'100'!D48</f>
        <v>4395724.62</v>
      </c>
      <c r="E10" s="184">
        <f>+E8+'100'!E48</f>
        <v>4568904.365632427</v>
      </c>
      <c r="F10" s="184">
        <f>+F8+'100'!F48</f>
        <v>2485466.5868789232</v>
      </c>
      <c r="G10" s="184">
        <f>+G8+'100'!G48</f>
        <v>790744.3087535044</v>
      </c>
      <c r="H10" s="184">
        <f>+H8+'100'!H48</f>
        <v>896869</v>
      </c>
      <c r="I10" s="184">
        <f>+I8+'100'!I48</f>
        <v>316693.52</v>
      </c>
      <c r="J10" s="184">
        <f>+J8+'100'!J48</f>
        <v>19000</v>
      </c>
      <c r="K10" s="184">
        <f>+K8+'100'!K48</f>
        <v>0</v>
      </c>
      <c r="L10" s="184">
        <f>+L8+'100'!L48</f>
        <v>60130.95</v>
      </c>
      <c r="M10" s="184">
        <f>+M8+'100'!M48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>
        <v>15000</v>
      </c>
      <c r="E12" s="98">
        <f>SUM(F12:M12)</f>
        <v>15000</v>
      </c>
      <c r="F12" s="111"/>
      <c r="G12" s="112"/>
      <c r="H12" s="113"/>
      <c r="I12" s="110">
        <v>15000</v>
      </c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15000</v>
      </c>
      <c r="E16" s="210">
        <f aca="true" t="shared" si="0" ref="E16:M16">SUM(E12:E14)</f>
        <v>15000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15000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/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>
        <v>553677</v>
      </c>
      <c r="E26" s="98">
        <f>SUM(F26:M26)</f>
        <v>278250</v>
      </c>
      <c r="F26" s="111"/>
      <c r="G26" s="112"/>
      <c r="H26" s="113"/>
      <c r="I26" s="110"/>
      <c r="J26" s="110"/>
      <c r="K26" s="110"/>
      <c r="L26" s="110"/>
      <c r="M26" s="110">
        <v>278250</v>
      </c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553677</v>
      </c>
      <c r="E28" s="210">
        <f>SUM(E23:E27)</f>
        <v>278250</v>
      </c>
      <c r="F28" s="186">
        <f aca="true" t="shared" si="2" ref="F28:M28">SUM(F23:F27)</f>
        <v>0</v>
      </c>
      <c r="G28" s="186">
        <f t="shared" si="2"/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278250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SUM(D28,D21,D16,D10,'100'!D21)</f>
        <v>12422326.43</v>
      </c>
      <c r="E31" s="202">
        <f>SUM(E28,E21,E16,E10,'100'!E21)</f>
        <v>13096346.704168633</v>
      </c>
      <c r="F31" s="202">
        <f>SUM(F28,F21,F16,F10,'100'!F21)</f>
        <v>8129440.032698438</v>
      </c>
      <c r="G31" s="202">
        <f>SUM(G28,G21,G16,G10,'100'!G21)</f>
        <v>2559954.3114701957</v>
      </c>
      <c r="H31" s="202">
        <f>SUM(H28,H21,H16,H10,'100'!H21)</f>
        <v>1146688</v>
      </c>
      <c r="I31" s="202">
        <f>SUM(I28,I21,I16,I10,'100'!I21)</f>
        <v>811633.41</v>
      </c>
      <c r="J31" s="202">
        <f>SUM(J28,J21,J16,J10,'100'!J21)</f>
        <v>110250</v>
      </c>
      <c r="K31" s="202">
        <f>SUM(K28,K21,K16,K10,'100'!K21)</f>
        <v>0</v>
      </c>
      <c r="L31" s="202">
        <f>SUM(L28,L21,L16,L10,'100'!L21)</f>
        <v>60130.95</v>
      </c>
      <c r="M31" s="202">
        <f>SUM(M28,M21,M16,M10,'100'!M21)</f>
        <v>278250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11.25" customHeight="1">
      <c r="A33" s="55" t="s">
        <v>191</v>
      </c>
      <c r="B33" s="54">
        <v>950</v>
      </c>
      <c r="C33" s="49" t="s">
        <v>251</v>
      </c>
      <c r="D33" s="123"/>
      <c r="E33" s="123"/>
      <c r="M33" s="50"/>
    </row>
    <row r="34" spans="1:13" ht="12" customHeight="1">
      <c r="A34" s="55" t="s">
        <v>192</v>
      </c>
      <c r="B34" s="56"/>
      <c r="C34" s="69" t="s">
        <v>289</v>
      </c>
      <c r="D34" s="118">
        <v>650054.28</v>
      </c>
      <c r="E34" s="118">
        <f>545301.55+0.07</f>
        <v>545301.62</v>
      </c>
      <c r="F34" s="223" t="s">
        <v>290</v>
      </c>
      <c r="G34" s="224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 t="s">
        <v>252</v>
      </c>
      <c r="D36" s="420">
        <f>+D31+D34</f>
        <v>13072380.709999999</v>
      </c>
      <c r="E36" s="420">
        <f>+E31+E34</f>
        <v>13641648.324168632</v>
      </c>
      <c r="M36" s="50"/>
    </row>
    <row r="37" spans="1:13" ht="12" customHeight="1">
      <c r="A37" s="55" t="s">
        <v>198</v>
      </c>
      <c r="B37" s="56"/>
      <c r="C37" s="69" t="s">
        <v>272</v>
      </c>
      <c r="D37" s="421"/>
      <c r="E37" s="421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225" t="s">
        <v>201</v>
      </c>
      <c r="B39" s="226"/>
      <c r="C39" s="227"/>
      <c r="D39" s="228"/>
      <c r="E39" s="228"/>
      <c r="F39" s="70"/>
      <c r="G39" s="70"/>
      <c r="H39" s="70"/>
      <c r="I39" s="70"/>
      <c r="J39" s="70"/>
      <c r="M39" s="50"/>
    </row>
    <row r="40" spans="1:13" ht="12" customHeight="1">
      <c r="A40" s="229" t="s">
        <v>202</v>
      </c>
      <c r="B40" s="230"/>
      <c r="C40" s="231" t="s">
        <v>193</v>
      </c>
      <c r="D40" s="232"/>
      <c r="E40" s="233"/>
      <c r="G40" s="140"/>
      <c r="H40" s="140"/>
      <c r="I40" s="140"/>
      <c r="J40" s="70"/>
      <c r="L40" s="17"/>
      <c r="M40" s="50"/>
    </row>
    <row r="41" spans="1:13" ht="12" customHeight="1">
      <c r="A41" s="229" t="s">
        <v>204</v>
      </c>
      <c r="B41" s="234"/>
      <c r="C41" s="235"/>
      <c r="D41" s="228"/>
      <c r="E41" s="236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234"/>
      <c r="C42" s="188" t="s">
        <v>197</v>
      </c>
      <c r="D42" s="193">
        <v>2749675</v>
      </c>
      <c r="E42" s="193">
        <v>3181169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234"/>
      <c r="C43" s="188" t="s">
        <v>199</v>
      </c>
      <c r="D43" s="193">
        <v>12750016.21</v>
      </c>
      <c r="E43" s="414">
        <v>13641648.32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234"/>
      <c r="C44" s="188" t="s">
        <v>285</v>
      </c>
      <c r="D44" s="193">
        <f>SUM(D42:D43)</f>
        <v>15499691.21</v>
      </c>
      <c r="E44" s="193">
        <f>SUM(E42:E43)</f>
        <v>16822817.32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234"/>
      <c r="C45" s="235"/>
      <c r="D45" s="239"/>
      <c r="E45" s="240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234"/>
      <c r="C46" s="235" t="s">
        <v>203</v>
      </c>
      <c r="D46" s="189">
        <f>D36</f>
        <v>13072380.709999999</v>
      </c>
      <c r="E46" s="190">
        <f>E36</f>
        <v>13641648.324168632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234"/>
      <c r="C47" s="235" t="s">
        <v>205</v>
      </c>
      <c r="D47" s="194">
        <v>2427310.5</v>
      </c>
      <c r="E47" s="193">
        <f>+E42</f>
        <v>3181169</v>
      </c>
      <c r="M47" s="50"/>
    </row>
    <row r="48" spans="1:13" ht="12" customHeight="1" thickBot="1">
      <c r="A48" s="58" t="s">
        <v>288</v>
      </c>
      <c r="B48" s="237"/>
      <c r="C48" s="238" t="s">
        <v>286</v>
      </c>
      <c r="D48" s="196">
        <f>SUM(D46:D47)</f>
        <v>15499691.209999999</v>
      </c>
      <c r="E48" s="197">
        <f>SUM(E46:E47)</f>
        <v>16822817.32416863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2017-18.xls]100b</v>
      </c>
    </row>
    <row r="50" spans="4:5" ht="15">
      <c r="D50" s="437">
        <f>+D44-D48</f>
        <v>0</v>
      </c>
      <c r="E50" s="437">
        <f>+E44-E48</f>
        <v>-0.0041686296463012695</v>
      </c>
    </row>
    <row r="51" spans="4:11" ht="15">
      <c r="D51" t="s">
        <v>354</v>
      </c>
      <c r="E51" s="407" t="s">
        <v>354</v>
      </c>
      <c r="F51" s="407"/>
      <c r="G51" s="407"/>
      <c r="H51" s="407"/>
      <c r="I51" s="407"/>
      <c r="J51" s="407"/>
      <c r="K51" s="407"/>
    </row>
    <row r="52" spans="5:11" ht="15">
      <c r="E52" s="407"/>
      <c r="F52" s="407"/>
      <c r="G52" s="407"/>
      <c r="H52" s="407"/>
      <c r="I52" s="407"/>
      <c r="J52" s="407"/>
      <c r="K52" s="407"/>
    </row>
    <row r="53" spans="5:11" ht="15">
      <c r="E53" s="407"/>
      <c r="F53" s="407"/>
      <c r="G53" s="407"/>
      <c r="H53" s="407"/>
      <c r="I53" s="407"/>
      <c r="J53" s="407"/>
      <c r="K53" s="407"/>
    </row>
    <row r="54" spans="5:11" ht="15">
      <c r="E54" s="407"/>
      <c r="F54" s="407"/>
      <c r="G54" s="407"/>
      <c r="H54" s="407"/>
      <c r="I54" s="407"/>
      <c r="J54" s="407"/>
      <c r="K54" s="407"/>
    </row>
    <row r="55" spans="5:11" ht="15">
      <c r="E55" s="407"/>
      <c r="F55" s="407"/>
      <c r="G55" s="407"/>
      <c r="H55" s="407"/>
      <c r="I55" s="407"/>
      <c r="J55" s="407"/>
      <c r="K55" s="407"/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21" footer="0.28"/>
  <pageSetup fitToHeight="1" fitToWidth="1" horizontalDpi="600" verticalDpi="600" orientation="landscape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2" width="11.10546875" style="0" customWidth="1"/>
    <col min="13" max="13" width="11.88671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233</v>
      </c>
    </row>
    <row r="2" spans="5:13" ht="15.75">
      <c r="E2" s="41" t="s">
        <v>2</v>
      </c>
      <c r="F2" s="28"/>
      <c r="G2" s="28"/>
      <c r="H2" s="42"/>
      <c r="K2" s="85"/>
      <c r="L2" s="86"/>
      <c r="M2" s="245" t="s">
        <v>337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25" t="s">
        <v>256</v>
      </c>
    </row>
    <row r="4" spans="1:12" ht="15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+D8+'270'!D48</f>
        <v>30811</v>
      </c>
      <c r="E10" s="184">
        <f>+E8+'270'!E48</f>
        <v>27314</v>
      </c>
      <c r="F10" s="184">
        <f>+F8+'270'!F48</f>
        <v>18937</v>
      </c>
      <c r="G10" s="184">
        <f>+G8+'270'!G48</f>
        <v>8377</v>
      </c>
      <c r="H10" s="184">
        <f>+H8+'270'!H48</f>
        <v>0</v>
      </c>
      <c r="I10" s="184">
        <f>+I8+'270'!I48</f>
        <v>0</v>
      </c>
      <c r="J10" s="184">
        <f>+J8+'270'!J48</f>
        <v>0</v>
      </c>
      <c r="K10" s="184">
        <f>+K8+'270'!K48</f>
        <v>0</v>
      </c>
      <c r="L10" s="184">
        <f>+L8+'270'!L48</f>
        <v>0</v>
      </c>
      <c r="M10" s="184">
        <f>+M8+'270'!M48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SUM(D28,D21,D16,D10,'270'!D21)</f>
        <v>30811</v>
      </c>
      <c r="E31" s="202">
        <f>SUM(E28,E21,E16,E10,'270'!E21)</f>
        <v>27314</v>
      </c>
      <c r="F31" s="202">
        <f>SUM(F28,F21,F16,F10,'270'!F21)</f>
        <v>18937</v>
      </c>
      <c r="G31" s="202">
        <f>SUM(G28,G21,G16,G10,'270'!G21)</f>
        <v>8377</v>
      </c>
      <c r="H31" s="202">
        <f>SUM(H28,H21,H16,H10,'270'!H21)</f>
        <v>0</v>
      </c>
      <c r="I31" s="202">
        <f>SUM(I28,I21,I16,I10,'270'!I21)</f>
        <v>0</v>
      </c>
      <c r="J31" s="202">
        <f>SUM(J28,J21,J16,J10,'270'!J21)</f>
        <v>0</v>
      </c>
      <c r="K31" s="202">
        <f>SUM(K28,K21,K16,K10,'270'!K21)</f>
        <v>0</v>
      </c>
      <c r="L31" s="202">
        <f>SUM(L28,L21,L16,L10,'270'!L21)</f>
        <v>0</v>
      </c>
      <c r="M31" s="202">
        <f>SUM(M28,M21,M16,M10,'270'!M21)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-0.02</v>
      </c>
      <c r="E42" s="193">
        <v>-0.02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30811</v>
      </c>
      <c r="E43" s="193">
        <f>+E31</f>
        <v>27314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30810.98</v>
      </c>
      <c r="E44" s="193">
        <f>SUM(E42:E43)</f>
        <v>27313.98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30811</v>
      </c>
      <c r="E46" s="190">
        <f>E31</f>
        <v>27314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-0.02</v>
      </c>
      <c r="E47" s="195">
        <v>-0.02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30810.98</v>
      </c>
      <c r="E48" s="197">
        <f>SUM(E46:E47)</f>
        <v>27313.98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2017-18.xls]270b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" footer="0"/>
  <pageSetup fitToHeight="1" fitToWidth="1" horizontalDpi="600" verticalDpi="600" orientation="landscape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224</v>
      </c>
    </row>
    <row r="2" spans="5:13" ht="15.75">
      <c r="E2" s="1" t="s">
        <v>2</v>
      </c>
      <c r="F2" s="2"/>
      <c r="G2" s="2"/>
      <c r="K2" s="19"/>
      <c r="L2" s="20"/>
      <c r="M2" s="245" t="s">
        <v>335</v>
      </c>
    </row>
    <row r="3" spans="5:13" ht="15">
      <c r="E3" s="2" t="str">
        <f>Form!E3</f>
        <v>July 1, 2017 - June 30, 2018</v>
      </c>
      <c r="F3" s="2"/>
      <c r="G3" s="2"/>
      <c r="K3" s="19"/>
      <c r="L3" s="20"/>
      <c r="M3" s="25" t="s">
        <v>141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>
        <v>52531</v>
      </c>
      <c r="E9" s="98">
        <f t="shared" si="0"/>
        <v>54460</v>
      </c>
      <c r="F9" s="428">
        <v>12500</v>
      </c>
      <c r="G9" s="429">
        <f>1415+956+145</f>
        <v>2516</v>
      </c>
      <c r="H9" s="430">
        <v>39444</v>
      </c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52531</v>
      </c>
      <c r="E21" s="200">
        <f t="shared" si="1"/>
        <v>54460</v>
      </c>
      <c r="F21" s="200">
        <f t="shared" si="1"/>
        <v>12500</v>
      </c>
      <c r="G21" s="200">
        <f t="shared" si="1"/>
        <v>2516</v>
      </c>
      <c r="H21" s="200">
        <f t="shared" si="1"/>
        <v>39444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2017-18.xls]271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309</v>
      </c>
    </row>
    <row r="2" spans="5:13" ht="15.75">
      <c r="E2" s="41" t="s">
        <v>2</v>
      </c>
      <c r="F2" s="28"/>
      <c r="G2" s="28"/>
      <c r="H2" s="42"/>
      <c r="K2" s="85"/>
      <c r="L2" s="86"/>
      <c r="M2" s="245" t="s">
        <v>335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239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+D8+'271'!D48</f>
        <v>0</v>
      </c>
      <c r="E10" s="184">
        <f>+E8+'271'!E48</f>
        <v>0</v>
      </c>
      <c r="F10" s="184">
        <f>+F8+'271'!F48</f>
        <v>0</v>
      </c>
      <c r="G10" s="184">
        <f>+G8+'271'!G48</f>
        <v>0</v>
      </c>
      <c r="H10" s="184">
        <f>+H8+'271'!H48</f>
        <v>0</v>
      </c>
      <c r="I10" s="184">
        <f>+I8+'271'!I48</f>
        <v>0</v>
      </c>
      <c r="J10" s="184">
        <f>+J8+'271'!J48</f>
        <v>0</v>
      </c>
      <c r="K10" s="184">
        <f>+K8+'271'!K48</f>
        <v>0</v>
      </c>
      <c r="L10" s="184">
        <f>+L8+'271'!L48</f>
        <v>0</v>
      </c>
      <c r="M10" s="184">
        <f>+M8+'271'!M48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SUM(D28,D21,D16,D10,'271'!D21)</f>
        <v>52531</v>
      </c>
      <c r="E31" s="202">
        <f>SUM(E28,E21,E16,E10,'271'!E21)</f>
        <v>54460</v>
      </c>
      <c r="F31" s="202">
        <f>SUM(F28,F21,F16,F10,'271'!F21)</f>
        <v>12500</v>
      </c>
      <c r="G31" s="202">
        <f>SUM(G28,G21,G16,G10,'271'!G21)</f>
        <v>2516</v>
      </c>
      <c r="H31" s="202">
        <f>SUM(H28,H21,H16,H10,'271'!H21)</f>
        <v>39444</v>
      </c>
      <c r="I31" s="202">
        <f>SUM(I28,I21,I16,I10,'271'!I21)</f>
        <v>0</v>
      </c>
      <c r="J31" s="202">
        <f>SUM(J28,J21,J16,J10,'271'!J21)</f>
        <v>0</v>
      </c>
      <c r="K31" s="202">
        <f>SUM(K28,K21,K16,K10,'271'!K21)</f>
        <v>0</v>
      </c>
      <c r="L31" s="202">
        <f>SUM(L28,L21,L16,L10,'271'!L21)</f>
        <v>0</v>
      </c>
      <c r="M31" s="202">
        <f>SUM(M28,M21,M16,M10,'271'!M21)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-0.36</v>
      </c>
      <c r="E42" s="193">
        <v>-0.36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52531</v>
      </c>
      <c r="E43" s="193">
        <f>+E31</f>
        <v>54460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52530.64</v>
      </c>
      <c r="E44" s="193">
        <f>SUM(E42:E43)</f>
        <v>54459.64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52531</v>
      </c>
      <c r="E46" s="190">
        <f>E31</f>
        <v>54460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-0.36</v>
      </c>
      <c r="E47" s="195">
        <v>-0.36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52530.64</v>
      </c>
      <c r="E48" s="197">
        <f>SUM(E46:E47)</f>
        <v>54459.64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2017-18.xls]271b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316</v>
      </c>
    </row>
    <row r="2" spans="5:13" ht="15.75">
      <c r="E2" s="1" t="s">
        <v>2</v>
      </c>
      <c r="F2" s="2"/>
      <c r="G2" s="2"/>
      <c r="J2" s="20"/>
      <c r="K2" s="26"/>
      <c r="L2" s="19"/>
      <c r="M2" s="18" t="s">
        <v>333</v>
      </c>
    </row>
    <row r="3" spans="5:13" ht="15">
      <c r="E3" s="2" t="str">
        <f>Form!E3</f>
        <v>July 1, 2017 - June 30, 2018</v>
      </c>
      <c r="F3" s="2"/>
      <c r="G3" s="2"/>
      <c r="J3" s="20"/>
      <c r="K3" s="20"/>
      <c r="L3" s="19"/>
      <c r="M3" s="25" t="s">
        <v>142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>
        <v>111600</v>
      </c>
      <c r="E8" s="93">
        <f aca="true" t="shared" si="0" ref="E8:E19">SUM(F8:M8)</f>
        <v>99325</v>
      </c>
      <c r="F8" s="94">
        <f>59267+8575</f>
        <v>67842</v>
      </c>
      <c r="G8" s="95">
        <v>19983</v>
      </c>
      <c r="H8" s="96">
        <v>11000</v>
      </c>
      <c r="I8" s="92">
        <v>500</v>
      </c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111600</v>
      </c>
      <c r="E21" s="200">
        <f t="shared" si="1"/>
        <v>99325</v>
      </c>
      <c r="F21" s="200">
        <f t="shared" si="1"/>
        <v>67842</v>
      </c>
      <c r="G21" s="200">
        <f t="shared" si="1"/>
        <v>19983</v>
      </c>
      <c r="H21" s="200">
        <f t="shared" si="1"/>
        <v>11000</v>
      </c>
      <c r="I21" s="200">
        <f t="shared" si="1"/>
        <v>500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2017-18.xls]273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225</v>
      </c>
    </row>
    <row r="2" spans="5:13" ht="15.75">
      <c r="E2" s="41" t="s">
        <v>2</v>
      </c>
      <c r="F2" s="28"/>
      <c r="G2" s="28"/>
      <c r="H2" s="42"/>
      <c r="K2" s="85"/>
      <c r="L2" s="86"/>
      <c r="M2" s="18" t="s">
        <v>333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242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+D8+'273'!D48</f>
        <v>0</v>
      </c>
      <c r="E10" s="184">
        <f>+E8+'273'!E48</f>
        <v>0</v>
      </c>
      <c r="F10" s="184">
        <f>+F8+'273'!F48</f>
        <v>0</v>
      </c>
      <c r="G10" s="184">
        <f>+G8+'273'!G48</f>
        <v>0</v>
      </c>
      <c r="H10" s="184">
        <f>+H8+'273'!H48</f>
        <v>0</v>
      </c>
      <c r="I10" s="184">
        <f>+I8+'273'!I48</f>
        <v>0</v>
      </c>
      <c r="J10" s="184">
        <f>+J8+'273'!J48</f>
        <v>0</v>
      </c>
      <c r="K10" s="184">
        <f>+K8+'273'!K48</f>
        <v>0</v>
      </c>
      <c r="L10" s="184">
        <f>+L8+'273'!L48</f>
        <v>0</v>
      </c>
      <c r="M10" s="184">
        <f>+M8+'273'!M48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SUM(D28,D21,D16,D10,'273'!D21)</f>
        <v>111600</v>
      </c>
      <c r="E31" s="202">
        <f>SUM(E28,E21,E16,E10,'273'!E21)</f>
        <v>99325</v>
      </c>
      <c r="F31" s="202">
        <f>SUM(F28,F21,F16,F10,'273'!F21)</f>
        <v>67842</v>
      </c>
      <c r="G31" s="202">
        <f>SUM(G28,G21,G16,G10,'273'!G21)</f>
        <v>19983</v>
      </c>
      <c r="H31" s="202">
        <f>SUM(H28,H21,H16,H10,'273'!H21)</f>
        <v>11000</v>
      </c>
      <c r="I31" s="202">
        <f>SUM(I28,I21,I16,I10,'273'!I21)</f>
        <v>500</v>
      </c>
      <c r="J31" s="202">
        <f>SUM(J28,J21,J16,J10,'273'!J21)</f>
        <v>0</v>
      </c>
      <c r="K31" s="202">
        <f>SUM(K28,K21,K16,K10,'273'!K21)</f>
        <v>0</v>
      </c>
      <c r="L31" s="202">
        <f>SUM(L28,L21,L16,L10,'273'!L21)</f>
        <v>0</v>
      </c>
      <c r="M31" s="202">
        <f>SUM(M28,M21,M16,M10,'273'!M21)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0.17</v>
      </c>
      <c r="E42" s="193">
        <v>0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111600</v>
      </c>
      <c r="E43" s="193">
        <f>+E31</f>
        <v>99325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111600.17</v>
      </c>
      <c r="E44" s="193">
        <f>SUM(E42:E43)</f>
        <v>99325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111600</v>
      </c>
      <c r="E46" s="190">
        <f>E31</f>
        <v>99325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0.17</v>
      </c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111600.17</v>
      </c>
      <c r="E48" s="197">
        <f>SUM(E46:E47)</f>
        <v>99325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2017-18.xls]273b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  <col min="8" max="10" width="9.77734375" style="0" customWidth="1"/>
    <col min="11" max="11" width="9.88671875" style="0" customWidth="1"/>
    <col min="12" max="13" width="9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317</v>
      </c>
    </row>
    <row r="2" spans="5:13" ht="15.75">
      <c r="E2" s="1" t="s">
        <v>2</v>
      </c>
      <c r="F2" s="2"/>
      <c r="G2" s="2"/>
      <c r="H2" s="27" t="s">
        <v>143</v>
      </c>
      <c r="I2" s="28"/>
      <c r="J2" s="28"/>
      <c r="K2" s="3" t="s">
        <v>135</v>
      </c>
      <c r="L2" s="4"/>
      <c r="M2" s="3"/>
    </row>
    <row r="3" spans="5:13" ht="15">
      <c r="E3" s="2" t="str">
        <f>Form!E3</f>
        <v>July 1, 2017 - June 30, 2018</v>
      </c>
      <c r="F3" s="2"/>
      <c r="G3" s="2"/>
      <c r="H3" s="121" t="s">
        <v>258</v>
      </c>
      <c r="I3" s="2"/>
      <c r="J3" s="2"/>
      <c r="K3" s="3" t="s">
        <v>3</v>
      </c>
      <c r="L3" s="4"/>
      <c r="M3" s="3"/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2017-18.xls]Federal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280</v>
      </c>
    </row>
    <row r="2" spans="5:13" ht="15.75">
      <c r="E2" s="41" t="s">
        <v>2</v>
      </c>
      <c r="F2" s="28"/>
      <c r="G2" s="28"/>
      <c r="H2" s="42"/>
      <c r="I2" s="27" t="s">
        <v>143</v>
      </c>
      <c r="J2" s="28"/>
      <c r="K2" s="80" t="s">
        <v>135</v>
      </c>
      <c r="L2" s="75"/>
      <c r="M2" s="90"/>
    </row>
    <row r="3" spans="5:13" ht="15">
      <c r="E3" s="2" t="str">
        <f>Form!E3</f>
        <v>July 1, 2017 - June 30, 2018</v>
      </c>
      <c r="F3" s="2"/>
      <c r="G3" s="2"/>
      <c r="H3" s="42"/>
      <c r="I3" s="121" t="s">
        <v>258</v>
      </c>
      <c r="J3" s="122"/>
      <c r="K3" s="80" t="s">
        <v>3</v>
      </c>
      <c r="L3" s="89"/>
      <c r="M3" s="90"/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+D8+Federal!D48</f>
        <v>0</v>
      </c>
      <c r="E10" s="184">
        <f>+E8+Federal!E48</f>
        <v>0</v>
      </c>
      <c r="F10" s="184">
        <f>+F8+Federal!F48</f>
        <v>0</v>
      </c>
      <c r="G10" s="184">
        <f>+G8+Federal!G48</f>
        <v>0</v>
      </c>
      <c r="H10" s="184">
        <f>+H8+Federal!H48</f>
        <v>0</v>
      </c>
      <c r="I10" s="184">
        <f>+I8+Federal!I48</f>
        <v>0</v>
      </c>
      <c r="J10" s="184">
        <f>+J8+Federal!J48</f>
        <v>0</v>
      </c>
      <c r="K10" s="184">
        <f>+K8+Federal!K48</f>
        <v>0</v>
      </c>
      <c r="L10" s="184">
        <f>+L8+Federal!L48</f>
        <v>0</v>
      </c>
      <c r="M10" s="184">
        <f>+M8+Federal!M48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SUM(D28,D21,D16,D10,Federal!D21)</f>
        <v>0</v>
      </c>
      <c r="E31" s="202">
        <f>SUM(E28,E21,E16,E10,Federal!E21)</f>
        <v>0</v>
      </c>
      <c r="F31" s="202">
        <f>SUM(F28,F21,F16,F10,Federal!F21)</f>
        <v>0</v>
      </c>
      <c r="G31" s="202">
        <f>SUM(G28,G21,G16,G10,Federal!G21)</f>
        <v>0</v>
      </c>
      <c r="H31" s="202">
        <f>SUM(H28,H21,H16,H10,Federal!H21)</f>
        <v>0</v>
      </c>
      <c r="I31" s="202">
        <f>SUM(I28,I21,I16,I10,Federal!I21)</f>
        <v>0</v>
      </c>
      <c r="J31" s="202">
        <f>SUM(J28,J21,J16,J10,Federal!J21)</f>
        <v>0</v>
      </c>
      <c r="K31" s="202">
        <f>SUM(K28,K21,K16,K10,Federal!K21)</f>
        <v>0</v>
      </c>
      <c r="L31" s="202">
        <f>SUM(L28,L21,L16,L10,Federal!L21)</f>
        <v>0</v>
      </c>
      <c r="M31" s="202">
        <f>SUM(M28,M21,M16,M10,Federal!M21)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2017-18.xls]Federalb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  <col min="8" max="10" width="9.77734375" style="0" customWidth="1"/>
    <col min="11" max="11" width="9.88671875" style="0" customWidth="1"/>
    <col min="12" max="13" width="9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317</v>
      </c>
    </row>
    <row r="2" spans="5:13" ht="15.75">
      <c r="E2" s="1" t="s">
        <v>2</v>
      </c>
      <c r="F2" s="2"/>
      <c r="G2" s="2"/>
      <c r="H2" s="27" t="s">
        <v>143</v>
      </c>
      <c r="I2" s="28"/>
      <c r="J2" s="28"/>
      <c r="K2" s="3" t="s">
        <v>356</v>
      </c>
      <c r="L2" s="4"/>
      <c r="M2" s="3"/>
    </row>
    <row r="3" spans="5:13" ht="15">
      <c r="E3" s="2" t="str">
        <f>Form!E3</f>
        <v>July 1, 2017 - June 30, 2018</v>
      </c>
      <c r="F3" s="2"/>
      <c r="G3" s="2"/>
      <c r="H3" s="121" t="s">
        <v>258</v>
      </c>
      <c r="I3" s="2"/>
      <c r="J3" s="2"/>
      <c r="K3" s="3" t="s">
        <v>357</v>
      </c>
      <c r="L3" s="4"/>
      <c r="M3" s="3"/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>
        <v>238651</v>
      </c>
      <c r="E24" s="98">
        <f>SUM(F24:M24)</f>
        <v>195000</v>
      </c>
      <c r="F24" s="99">
        <v>37510</v>
      </c>
      <c r="G24" s="100">
        <f>4246+2870+98+435</f>
        <v>7649</v>
      </c>
      <c r="H24" s="101">
        <f>112578+35000-1</f>
        <v>147577</v>
      </c>
      <c r="I24" s="97">
        <v>2264</v>
      </c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2017-18.xls]284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238651</v>
      </c>
      <c r="E48" s="193">
        <f t="shared" si="3"/>
        <v>195000</v>
      </c>
      <c r="F48" s="193">
        <f t="shared" si="3"/>
        <v>37510</v>
      </c>
      <c r="G48" s="193">
        <f t="shared" si="3"/>
        <v>7649</v>
      </c>
      <c r="H48" s="193">
        <f t="shared" si="3"/>
        <v>147577</v>
      </c>
      <c r="I48" s="193">
        <f t="shared" si="3"/>
        <v>2264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280</v>
      </c>
    </row>
    <row r="2" spans="5:13" ht="15.75">
      <c r="E2" s="41" t="s">
        <v>2</v>
      </c>
      <c r="F2" s="28"/>
      <c r="G2" s="28"/>
      <c r="H2" s="42"/>
      <c r="I2" s="27" t="s">
        <v>143</v>
      </c>
      <c r="J2" s="28"/>
      <c r="K2" s="80" t="s">
        <v>135</v>
      </c>
      <c r="L2" s="75" t="s">
        <v>355</v>
      </c>
      <c r="M2" s="90"/>
    </row>
    <row r="3" spans="5:13" ht="15">
      <c r="E3" s="2" t="str">
        <f>Form!E3</f>
        <v>July 1, 2017 - June 30, 2018</v>
      </c>
      <c r="F3" s="2"/>
      <c r="G3" s="2"/>
      <c r="H3" s="42"/>
      <c r="I3" s="121" t="s">
        <v>258</v>
      </c>
      <c r="J3" s="122"/>
      <c r="K3" s="80" t="s">
        <v>3</v>
      </c>
      <c r="L3" s="89">
        <v>284</v>
      </c>
      <c r="M3" s="90"/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+D8+'284'!D48</f>
        <v>238651</v>
      </c>
      <c r="E10" s="184">
        <f>+E8+'284'!E48</f>
        <v>195000</v>
      </c>
      <c r="F10" s="184">
        <f>+F8+'284'!F48</f>
        <v>37510</v>
      </c>
      <c r="G10" s="184">
        <f>+G8+'284'!G48</f>
        <v>7649</v>
      </c>
      <c r="H10" s="184">
        <f>+H8+'284'!H48</f>
        <v>147577</v>
      </c>
      <c r="I10" s="184">
        <f>+I8+'284'!I48</f>
        <v>2264</v>
      </c>
      <c r="J10" s="184">
        <f>+J8+'284'!J48</f>
        <v>0</v>
      </c>
      <c r="K10" s="184">
        <f>+K8+'284'!K48</f>
        <v>0</v>
      </c>
      <c r="L10" s="184">
        <f>+L8+'284'!L48</f>
        <v>0</v>
      </c>
      <c r="M10" s="184">
        <f>+M8+'284'!M48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SUM(D28,D21,D16,D10,Federal!D21)</f>
        <v>238651</v>
      </c>
      <c r="E31" s="202">
        <f>SUM(E28,E21,E16,E10,Federal!E21)</f>
        <v>195000</v>
      </c>
      <c r="F31" s="202">
        <f>SUM(F28,F21,F16,F10,Federal!F21)</f>
        <v>37510</v>
      </c>
      <c r="G31" s="202">
        <f>SUM(G28,G21,G16,G10,Federal!G21)</f>
        <v>7649</v>
      </c>
      <c r="H31" s="202">
        <f>SUM(H28,H21,H16,H10,Federal!H21)</f>
        <v>147577</v>
      </c>
      <c r="I31" s="202">
        <f>SUM(I28,I21,I16,I10,Federal!I21)</f>
        <v>2264</v>
      </c>
      <c r="J31" s="202">
        <f>SUM(J28,J21,J16,J10,Federal!J21)</f>
        <v>0</v>
      </c>
      <c r="K31" s="202">
        <f>SUM(K28,K21,K16,K10,Federal!K21)</f>
        <v>0</v>
      </c>
      <c r="L31" s="202">
        <f>SUM(L28,L21,L16,L10,Federal!L21)</f>
        <v>0</v>
      </c>
      <c r="M31" s="202">
        <f>SUM(M28,M21,M16,M10,Federal!M21)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32891</v>
      </c>
      <c r="E42" s="193">
        <v>0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205760</v>
      </c>
      <c r="E43" s="193">
        <f>+E31</f>
        <v>195000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238651</v>
      </c>
      <c r="E44" s="193">
        <f>SUM(E42:E43)</f>
        <v>195000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238651</v>
      </c>
      <c r="E46" s="190">
        <f>E31</f>
        <v>195000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238651</v>
      </c>
      <c r="E48" s="197">
        <f>SUM(E46:E47)</f>
        <v>195000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2017-18.xls]284b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  <col min="8" max="10" width="9.77734375" style="0" customWidth="1"/>
    <col min="11" max="11" width="9.88671875" style="0" customWidth="1"/>
    <col min="12" max="13" width="9.77734375" style="0" customWidth="1"/>
  </cols>
  <sheetData>
    <row r="1" spans="1:13" ht="15.75">
      <c r="A1" s="244" t="s">
        <v>0</v>
      </c>
      <c r="C1" s="143"/>
      <c r="E1" s="1" t="s">
        <v>1</v>
      </c>
      <c r="F1" s="2"/>
      <c r="G1" s="2"/>
      <c r="M1" s="29" t="s">
        <v>234</v>
      </c>
    </row>
    <row r="2" spans="5:13" ht="15.75">
      <c r="E2" s="1" t="s">
        <v>2</v>
      </c>
      <c r="F2" s="2"/>
      <c r="G2" s="2"/>
      <c r="H2" s="27" t="s">
        <v>146</v>
      </c>
      <c r="I2" s="28" t="s">
        <v>146</v>
      </c>
      <c r="J2" s="28"/>
      <c r="K2" s="78" t="s">
        <v>146</v>
      </c>
      <c r="L2" s="141"/>
      <c r="M2" s="243" t="s">
        <v>319</v>
      </c>
    </row>
    <row r="3" spans="5:13" ht="15">
      <c r="E3" s="2" t="str">
        <f>Form!E3</f>
        <v>July 1, 2017 - June 30, 2018</v>
      </c>
      <c r="F3" s="2"/>
      <c r="G3" s="2"/>
      <c r="H3" s="121" t="s">
        <v>146</v>
      </c>
      <c r="I3" s="2" t="s">
        <v>146</v>
      </c>
      <c r="J3" s="2"/>
      <c r="K3" s="78" t="s">
        <v>146</v>
      </c>
      <c r="L3" s="141"/>
      <c r="M3" s="74" t="s">
        <v>243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 t="s">
        <v>146</v>
      </c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 t="s">
        <v>146</v>
      </c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2017-18.xls]290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16" customWidth="1"/>
    <col min="2" max="2" width="7.77734375" style="16" customWidth="1"/>
    <col min="3" max="3" width="26.77734375" style="16" customWidth="1"/>
    <col min="4" max="4" width="9.10546875" style="16" customWidth="1"/>
    <col min="5" max="5" width="10.4453125" style="16" customWidth="1"/>
    <col min="6" max="7" width="11.77734375" style="16" customWidth="1"/>
    <col min="8" max="12" width="9.77734375" style="16" customWidth="1"/>
    <col min="13" max="13" width="10.77734375" style="16" customWidth="1"/>
    <col min="14" max="16384" width="9.77734375" style="16" customWidth="1"/>
  </cols>
  <sheetData>
    <row r="1" spans="1:13" ht="12.75">
      <c r="A1" s="403" t="s">
        <v>0</v>
      </c>
      <c r="B1" s="145"/>
      <c r="C1" s="161"/>
      <c r="D1" s="145"/>
      <c r="E1" s="162" t="s">
        <v>1</v>
      </c>
      <c r="F1" s="163"/>
      <c r="G1" s="163"/>
      <c r="H1" s="145"/>
      <c r="I1" s="145"/>
      <c r="J1" s="145"/>
      <c r="K1" s="145"/>
      <c r="L1" s="145"/>
      <c r="M1" s="164" t="s">
        <v>298</v>
      </c>
    </row>
    <row r="2" spans="1:13" ht="12.75">
      <c r="A2" s="165"/>
      <c r="B2" s="77"/>
      <c r="C2" s="77"/>
      <c r="D2" s="77"/>
      <c r="E2" s="166" t="s">
        <v>2</v>
      </c>
      <c r="F2" s="167"/>
      <c r="G2" s="167"/>
      <c r="H2" s="77"/>
      <c r="I2" s="146"/>
      <c r="J2" s="168"/>
      <c r="K2" s="77"/>
      <c r="L2" s="77"/>
      <c r="M2" s="169" t="s">
        <v>123</v>
      </c>
    </row>
    <row r="3" spans="1:13" ht="12.75">
      <c r="A3" s="165"/>
      <c r="B3" s="77"/>
      <c r="C3" s="77"/>
      <c r="D3" s="77"/>
      <c r="E3" s="167" t="str">
        <f>Form!E3</f>
        <v>July 1, 2017 - June 30, 2018</v>
      </c>
      <c r="F3" s="167"/>
      <c r="G3" s="167"/>
      <c r="H3" s="77"/>
      <c r="I3" s="146"/>
      <c r="J3" s="168"/>
      <c r="K3" s="170"/>
      <c r="L3" s="77"/>
      <c r="M3" s="169" t="s">
        <v>124</v>
      </c>
    </row>
    <row r="4" spans="1:13" ht="12" customHeight="1">
      <c r="A4" s="147" t="s">
        <v>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9"/>
    </row>
    <row r="5" spans="1:13" ht="12" customHeight="1">
      <c r="A5" s="150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151" t="s">
        <v>14</v>
      </c>
    </row>
    <row r="6" spans="1:13" ht="12" customHeight="1">
      <c r="A6" s="152"/>
      <c r="B6" s="9"/>
      <c r="C6" s="9"/>
      <c r="D6" s="9"/>
      <c r="E6" s="9"/>
      <c r="F6" s="148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149"/>
    </row>
    <row r="7" spans="1:13" ht="12" customHeight="1">
      <c r="A7" s="153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154" t="s">
        <v>31</v>
      </c>
    </row>
    <row r="8" spans="1:13" ht="12" customHeight="1">
      <c r="A8" s="153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155"/>
    </row>
    <row r="9" spans="1:13" ht="12" customHeight="1">
      <c r="A9" s="153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156"/>
    </row>
    <row r="10" spans="1:13" ht="12" customHeight="1">
      <c r="A10" s="153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156"/>
    </row>
    <row r="11" spans="1:13" ht="12" customHeight="1">
      <c r="A11" s="157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156"/>
    </row>
    <row r="12" spans="1:13" ht="12" customHeight="1">
      <c r="A12" s="153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156"/>
    </row>
    <row r="13" spans="1:13" ht="12" customHeight="1">
      <c r="A13" s="153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156"/>
    </row>
    <row r="14" spans="1:13" ht="12" customHeight="1">
      <c r="A14" s="153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156"/>
    </row>
    <row r="15" spans="1:13" ht="12" customHeight="1">
      <c r="A15" s="153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156"/>
    </row>
    <row r="16" spans="1:13" ht="12" customHeight="1">
      <c r="A16" s="153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156"/>
    </row>
    <row r="17" spans="1:13" ht="12" customHeight="1">
      <c r="A17" s="153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156"/>
    </row>
    <row r="18" spans="1:13" ht="12" customHeight="1">
      <c r="A18" s="153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156"/>
    </row>
    <row r="19" spans="1:13" ht="12" customHeight="1">
      <c r="A19" s="153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156"/>
    </row>
    <row r="20" spans="1:13" ht="12" customHeight="1">
      <c r="A20" s="153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221"/>
    </row>
    <row r="21" spans="1:13" ht="12" customHeight="1">
      <c r="A21" s="153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153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58"/>
    </row>
    <row r="23" spans="1:13" ht="12" customHeight="1">
      <c r="A23" s="153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156"/>
    </row>
    <row r="24" spans="1:13" ht="12" customHeight="1">
      <c r="A24" s="153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156"/>
    </row>
    <row r="25" spans="1:13" ht="12" customHeight="1">
      <c r="A25" s="153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59"/>
    </row>
    <row r="26" spans="1:13" ht="12" customHeight="1">
      <c r="A26" s="153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156"/>
    </row>
    <row r="27" spans="1:13" ht="12" customHeight="1">
      <c r="A27" s="153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156"/>
    </row>
    <row r="28" spans="1:13" ht="12" customHeight="1">
      <c r="A28" s="153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156"/>
    </row>
    <row r="29" spans="1:13" ht="12" customHeight="1">
      <c r="A29" s="153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156"/>
    </row>
    <row r="30" spans="1:13" ht="12" customHeight="1">
      <c r="A30" s="153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156"/>
    </row>
    <row r="31" spans="1:13" ht="12" customHeight="1">
      <c r="A31" s="153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59"/>
    </row>
    <row r="32" spans="1:13" ht="12" customHeight="1">
      <c r="A32" s="153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156"/>
    </row>
    <row r="33" spans="1:13" ht="8.25" customHeight="1">
      <c r="A33" s="153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59"/>
    </row>
    <row r="34" spans="1:13" ht="12" customHeight="1">
      <c r="A34" s="153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156"/>
    </row>
    <row r="35" spans="1:13" ht="12" customHeight="1">
      <c r="A35" s="153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156"/>
    </row>
    <row r="36" spans="1:13" ht="12" customHeight="1">
      <c r="A36" s="153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156"/>
    </row>
    <row r="37" spans="1:13" ht="12" customHeight="1">
      <c r="A37" s="153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156"/>
    </row>
    <row r="38" spans="1:13" ht="12" customHeight="1">
      <c r="A38" s="153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156"/>
    </row>
    <row r="39" spans="1:13" ht="12" customHeight="1">
      <c r="A39" s="153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156"/>
    </row>
    <row r="40" spans="1:13" ht="12" customHeight="1">
      <c r="A40" s="153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156"/>
    </row>
    <row r="41" spans="1:13" ht="12" customHeight="1">
      <c r="A41" s="153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156"/>
    </row>
    <row r="42" spans="1:13" ht="12" customHeight="1">
      <c r="A42" s="153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59"/>
    </row>
    <row r="43" spans="1:13" ht="12" customHeight="1">
      <c r="A43" s="153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156"/>
    </row>
    <row r="44" spans="1:13" ht="12" customHeight="1">
      <c r="A44" s="153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156"/>
    </row>
    <row r="45" spans="1:13" ht="12" customHeight="1">
      <c r="A45" s="153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156"/>
    </row>
    <row r="46" spans="1:13" ht="12" customHeight="1">
      <c r="A46" s="17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59"/>
    </row>
    <row r="47" spans="1:13" ht="12" customHeight="1">
      <c r="A47" s="147" t="str">
        <f ca="1">CELL("filename",A47)</f>
        <v>C:\Users\cchurch\Desktop\Documents\Budget\2017-2018 Budget\[Expenditures 2017-18.xls]220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9"/>
    </row>
    <row r="48" spans="1:13" ht="13.5" thickBot="1">
      <c r="A48" s="172"/>
      <c r="B48" s="160"/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26" footer="0.17"/>
  <pageSetup fitToHeight="1" fitToWidth="1" horizontalDpi="600" verticalDpi="600" orientation="landscape" scale="7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310</v>
      </c>
    </row>
    <row r="2" spans="5:13" ht="15.75">
      <c r="E2" s="41" t="s">
        <v>2</v>
      </c>
      <c r="F2" s="28"/>
      <c r="G2" s="28"/>
      <c r="H2" s="42"/>
      <c r="K2" s="85"/>
      <c r="L2" s="86"/>
      <c r="M2" s="74" t="s">
        <v>319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243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+D8+'290'!D48</f>
        <v>0</v>
      </c>
      <c r="E10" s="184">
        <f>+E8+'290'!E48</f>
        <v>0</v>
      </c>
      <c r="F10" s="184">
        <f>+F8+'290'!F48</f>
        <v>0</v>
      </c>
      <c r="G10" s="184">
        <f>+G8+'290'!G48</f>
        <v>0</v>
      </c>
      <c r="H10" s="184">
        <f>+H8+'290'!H48</f>
        <v>0</v>
      </c>
      <c r="I10" s="184">
        <f>+I8+'290'!I48</f>
        <v>0</v>
      </c>
      <c r="J10" s="184">
        <f>+J8+'290'!J48</f>
        <v>0</v>
      </c>
      <c r="K10" s="184">
        <f>+K8+'290'!K48</f>
        <v>0</v>
      </c>
      <c r="L10" s="184">
        <f>+L8+'290'!L48</f>
        <v>0</v>
      </c>
      <c r="M10" s="184">
        <f>+M8+'290'!M48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>
        <v>671114</v>
      </c>
      <c r="E12" s="98">
        <f>SUM(F12:M12)</f>
        <v>708000</v>
      </c>
      <c r="F12" s="111">
        <f>232933+7000</f>
        <v>239933</v>
      </c>
      <c r="G12" s="112">
        <f>27160+18355+34820+2783</f>
        <v>83118</v>
      </c>
      <c r="H12" s="113">
        <v>7500</v>
      </c>
      <c r="I12" s="110">
        <f>367448+1</f>
        <v>367449</v>
      </c>
      <c r="J12" s="110">
        <v>10000</v>
      </c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790</v>
      </c>
      <c r="C14" s="59" t="s">
        <v>260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671114</v>
      </c>
      <c r="E16" s="210">
        <f aca="true" t="shared" si="0" ref="E16:M16">SUM(E12:E14)</f>
        <v>708000</v>
      </c>
      <c r="F16" s="186">
        <f t="shared" si="0"/>
        <v>239933</v>
      </c>
      <c r="G16" s="186">
        <f t="shared" si="0"/>
        <v>83118</v>
      </c>
      <c r="H16" s="186">
        <f t="shared" si="0"/>
        <v>7500</v>
      </c>
      <c r="I16" s="186">
        <f t="shared" si="0"/>
        <v>367449</v>
      </c>
      <c r="J16" s="186">
        <f t="shared" si="0"/>
        <v>10000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SUM(D28,D21,D16,D10,'290'!D21)</f>
        <v>671114</v>
      </c>
      <c r="E31" s="202">
        <f>SUM(E28,E21,E16,E10,'290'!E21)</f>
        <v>708000</v>
      </c>
      <c r="F31" s="202">
        <f>SUM(F28,F21,F16,F10,'290'!F21)</f>
        <v>239933</v>
      </c>
      <c r="G31" s="202">
        <f>SUM(G28,G21,G16,G10,'290'!G21)</f>
        <v>83118</v>
      </c>
      <c r="H31" s="202">
        <f>SUM(H28,H21,H16,H10,'290'!H21)</f>
        <v>7500</v>
      </c>
      <c r="I31" s="202">
        <f>SUM(I28,I21,I16,I10,'290'!I21)</f>
        <v>367449</v>
      </c>
      <c r="J31" s="202">
        <f>SUM(J28,J21,J16,J10,'290'!J21)</f>
        <v>10000</v>
      </c>
      <c r="K31" s="202">
        <f>SUM(K28,K21,K16,K10,'290'!K21)</f>
        <v>0</v>
      </c>
      <c r="L31" s="202">
        <f>SUM(L28,L21,L16,L10,'290'!L21)</f>
        <v>0</v>
      </c>
      <c r="M31" s="202">
        <f>SUM(M28,M21,M16,M10,'290'!M21)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97730.62</v>
      </c>
      <c r="E42" s="193">
        <v>158326.72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f>+D31</f>
        <v>671114</v>
      </c>
      <c r="E43" s="193">
        <v>658000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768844.62</v>
      </c>
      <c r="E44" s="193">
        <f>SUM(E42:E43)</f>
        <v>816326.72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671114</v>
      </c>
      <c r="E46" s="190">
        <f>E31</f>
        <v>708000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97730.62</v>
      </c>
      <c r="E47" s="195">
        <f>+E42-50000</f>
        <v>108326.72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768844.62</v>
      </c>
      <c r="E48" s="197">
        <f>SUM(E46:E47)</f>
        <v>816326.72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2017-18.xls]290b</v>
      </c>
    </row>
    <row r="50" spans="4:5" ht="15">
      <c r="D50" s="437">
        <f>+D44-D48</f>
        <v>0</v>
      </c>
      <c r="E50" s="404">
        <f>+E44-E48</f>
        <v>0</v>
      </c>
    </row>
    <row r="51" ht="15">
      <c r="E51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6640625" style="0" customWidth="1"/>
    <col min="4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8"/>
      <c r="G1" s="28"/>
      <c r="H1" s="28"/>
      <c r="L1" s="17"/>
      <c r="M1" s="84" t="s">
        <v>254</v>
      </c>
    </row>
    <row r="2" spans="5:13" ht="15.75">
      <c r="E2" s="1" t="s">
        <v>2</v>
      </c>
      <c r="F2" s="28"/>
      <c r="G2" s="28"/>
      <c r="H2" s="42"/>
      <c r="K2" s="85"/>
      <c r="L2" s="86"/>
      <c r="M2" s="74" t="s">
        <v>244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245</v>
      </c>
    </row>
    <row r="4" spans="1:12" ht="12" customHeight="1">
      <c r="A4" s="5" t="s">
        <v>4</v>
      </c>
      <c r="B4" s="5"/>
      <c r="C4" s="5"/>
      <c r="D4" s="5"/>
      <c r="E4" s="5"/>
      <c r="F4" s="16"/>
      <c r="G4" s="16"/>
      <c r="H4" s="16"/>
      <c r="I4" s="16"/>
      <c r="J4" s="16"/>
      <c r="K4" s="16"/>
      <c r="L4" s="16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>
        <v>1500</v>
      </c>
      <c r="E30" s="98">
        <f>SUM(F30:M30)</f>
        <v>400</v>
      </c>
      <c r="F30" s="99"/>
      <c r="G30" s="100"/>
      <c r="H30" s="101">
        <v>400</v>
      </c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2017-18.xls]310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" customHeight="1">
      <c r="A48" s="16"/>
      <c r="B48" s="16"/>
      <c r="C48" s="222" t="s">
        <v>291</v>
      </c>
      <c r="D48" s="193">
        <f aca="true" t="shared" si="3" ref="D48:M48">SUM(D23:D46)</f>
        <v>1500</v>
      </c>
      <c r="E48" s="193">
        <f t="shared" si="3"/>
        <v>400</v>
      </c>
      <c r="F48" s="193">
        <f t="shared" si="3"/>
        <v>0</v>
      </c>
      <c r="G48" s="193">
        <f t="shared" si="3"/>
        <v>0</v>
      </c>
      <c r="H48" s="193">
        <f t="shared" si="3"/>
        <v>400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5" right="0.25" top="0" bottom="0.25" header="0.2" footer="0.18"/>
  <pageSetup fitToHeight="1" fitToWidth="1" horizontalDpi="600" verticalDpi="600" orientation="landscape" scale="7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235</v>
      </c>
    </row>
    <row r="2" spans="5:13" ht="15.75">
      <c r="E2" s="41" t="s">
        <v>2</v>
      </c>
      <c r="F2" s="28"/>
      <c r="G2" s="28"/>
      <c r="H2" s="42"/>
      <c r="K2" s="85"/>
      <c r="L2" s="86"/>
      <c r="M2" s="74" t="s">
        <v>244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245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v>1500</v>
      </c>
      <c r="E10" s="184">
        <v>400</v>
      </c>
      <c r="F10" s="184">
        <f aca="true" t="shared" si="0" ref="D10:M10">+F8</f>
        <v>0</v>
      </c>
      <c r="G10" s="184">
        <f t="shared" si="0"/>
        <v>0</v>
      </c>
      <c r="H10" s="184">
        <v>400</v>
      </c>
      <c r="I10" s="184">
        <f t="shared" si="0"/>
        <v>0</v>
      </c>
      <c r="J10" s="184">
        <f t="shared" si="0"/>
        <v>0</v>
      </c>
      <c r="K10" s="184">
        <f t="shared" si="0"/>
        <v>0</v>
      </c>
      <c r="L10" s="184">
        <f t="shared" si="0"/>
        <v>0</v>
      </c>
      <c r="M10" s="184">
        <f t="shared" si="0"/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790</v>
      </c>
      <c r="C14" s="59" t="s">
        <v>260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1" ref="E16:M16">SUM(E12:E14)</f>
        <v>0</v>
      </c>
      <c r="F16" s="186">
        <f t="shared" si="1"/>
        <v>0</v>
      </c>
      <c r="G16" s="186">
        <f t="shared" si="1"/>
        <v>0</v>
      </c>
      <c r="H16" s="186">
        <f t="shared" si="1"/>
        <v>0</v>
      </c>
      <c r="I16" s="186">
        <f t="shared" si="1"/>
        <v>0</v>
      </c>
      <c r="J16" s="186">
        <f t="shared" si="1"/>
        <v>0</v>
      </c>
      <c r="K16" s="186">
        <f t="shared" si="1"/>
        <v>0</v>
      </c>
      <c r="L16" s="186">
        <f t="shared" si="1"/>
        <v>0</v>
      </c>
      <c r="M16" s="186">
        <f t="shared" si="1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2" ref="E21:M21">SUM(E17:E19)</f>
        <v>0</v>
      </c>
      <c r="F21" s="186">
        <f t="shared" si="2"/>
        <v>0</v>
      </c>
      <c r="G21" s="186">
        <f t="shared" si="2"/>
        <v>0</v>
      </c>
      <c r="H21" s="186">
        <f t="shared" si="2"/>
        <v>0</v>
      </c>
      <c r="I21" s="186">
        <f t="shared" si="2"/>
        <v>0</v>
      </c>
      <c r="J21" s="186">
        <f t="shared" si="2"/>
        <v>0</v>
      </c>
      <c r="K21" s="186">
        <f t="shared" si="2"/>
        <v>0</v>
      </c>
      <c r="L21" s="186">
        <f t="shared" si="2"/>
        <v>0</v>
      </c>
      <c r="M21" s="186">
        <f t="shared" si="2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>
        <v>1830000</v>
      </c>
      <c r="E23" s="98">
        <f>SUM(F23:M23)</f>
        <v>2965356</v>
      </c>
      <c r="F23" s="111"/>
      <c r="G23" s="112"/>
      <c r="H23" s="113"/>
      <c r="I23" s="110"/>
      <c r="J23" s="110"/>
      <c r="K23" s="110">
        <f>1905000+1060356</f>
        <v>2965356</v>
      </c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>
        <v>1106406</v>
      </c>
      <c r="E24" s="98">
        <f>SUM(F24:M24)</f>
        <v>444788</v>
      </c>
      <c r="F24" s="111" t="s">
        <v>146</v>
      </c>
      <c r="G24" s="112"/>
      <c r="H24" s="113"/>
      <c r="I24" s="110"/>
      <c r="J24" s="110"/>
      <c r="K24" s="110">
        <f>435000+9788</f>
        <v>444788</v>
      </c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2936406</v>
      </c>
      <c r="E28" s="210">
        <f>SUM(E23:E27)</f>
        <v>3410144</v>
      </c>
      <c r="F28" s="186">
        <f>SUM(F23:F27)</f>
        <v>0</v>
      </c>
      <c r="G28" s="186">
        <f aca="true" t="shared" si="3" ref="G28:M28">SUM(G23:G27)</f>
        <v>0</v>
      </c>
      <c r="H28" s="186">
        <f t="shared" si="3"/>
        <v>0</v>
      </c>
      <c r="I28" s="186">
        <f t="shared" si="3"/>
        <v>0</v>
      </c>
      <c r="J28" s="186">
        <f t="shared" si="3"/>
        <v>0</v>
      </c>
      <c r="K28" s="186">
        <f t="shared" si="3"/>
        <v>3410144</v>
      </c>
      <c r="L28" s="186">
        <f t="shared" si="3"/>
        <v>0</v>
      </c>
      <c r="M28" s="186">
        <f t="shared" si="3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SUM(D28,D21,D16,D10)</f>
        <v>2937906</v>
      </c>
      <c r="E31" s="202">
        <f aca="true" t="shared" si="4" ref="E31:M31">SUM(E28,E21,E16,E10)</f>
        <v>3410544</v>
      </c>
      <c r="F31" s="202">
        <f t="shared" si="4"/>
        <v>0</v>
      </c>
      <c r="G31" s="202">
        <f t="shared" si="4"/>
        <v>0</v>
      </c>
      <c r="H31" s="202">
        <f t="shared" si="4"/>
        <v>400</v>
      </c>
      <c r="I31" s="202">
        <f t="shared" si="4"/>
        <v>0</v>
      </c>
      <c r="J31" s="202">
        <f t="shared" si="4"/>
        <v>0</v>
      </c>
      <c r="K31" s="202">
        <f t="shared" si="4"/>
        <v>3410144</v>
      </c>
      <c r="L31" s="202">
        <f t="shared" si="4"/>
        <v>0</v>
      </c>
      <c r="M31" s="202">
        <f t="shared" si="4"/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1370941.3</v>
      </c>
      <c r="E42" s="193">
        <f>1392337.11+75199</f>
        <v>1467536.11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1381406</v>
      </c>
      <c r="E43" s="193">
        <v>1490995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2752347.3</v>
      </c>
      <c r="E44" s="193">
        <f>SUM(E42:E43)</f>
        <v>2958531.1100000003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2937906</v>
      </c>
      <c r="E46" s="190">
        <f>E31</f>
        <v>3410544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-185558.7</v>
      </c>
      <c r="E47" s="195">
        <f>-527211.89+75199</f>
        <v>-452012.89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2752347.3</v>
      </c>
      <c r="E48" s="197">
        <f>SUM(E46:E47)</f>
        <v>2958531.11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2017-18.xls]310b</v>
      </c>
    </row>
    <row r="50" spans="4:5" ht="15">
      <c r="D50" s="417">
        <f>+D44-D48</f>
        <v>0</v>
      </c>
      <c r="E50" s="417">
        <f>+E44-E48</f>
        <v>0</v>
      </c>
    </row>
    <row r="52" ht="15">
      <c r="E52" s="415"/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6640625" style="0" customWidth="1"/>
    <col min="4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84" t="s">
        <v>311</v>
      </c>
    </row>
    <row r="2" spans="5:13" ht="15.75">
      <c r="E2" s="1" t="s">
        <v>2</v>
      </c>
      <c r="F2" s="2"/>
      <c r="G2" s="2"/>
      <c r="K2" s="3"/>
      <c r="L2" s="4"/>
      <c r="M2" s="74" t="s">
        <v>246</v>
      </c>
    </row>
    <row r="3" spans="5:13" ht="15">
      <c r="E3" s="2" t="str">
        <f>Form!E3</f>
        <v>July 1, 2017 - June 30, 2018</v>
      </c>
      <c r="F3" s="2"/>
      <c r="G3" s="2"/>
      <c r="K3" s="3"/>
      <c r="L3" s="4"/>
      <c r="M3" s="74" t="s">
        <v>247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2017-18.xls]410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" customHeight="1">
      <c r="A48" s="16"/>
      <c r="B48" s="16"/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5" right="0.25" top="0" bottom="0.25" header="0.2" footer="0.18"/>
  <pageSetup fitToHeight="1" fitToWidth="1" horizontalDpi="600" verticalDpi="600" orientation="landscape" scale="7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10546875" style="0" customWidth="1"/>
  </cols>
  <sheetData>
    <row r="1" spans="1:13" ht="15.75">
      <c r="A1" s="244" t="s">
        <v>0</v>
      </c>
      <c r="B1" s="16"/>
      <c r="C1" s="143"/>
      <c r="E1" s="41" t="s">
        <v>1</v>
      </c>
      <c r="F1" s="28"/>
      <c r="G1" s="28"/>
      <c r="H1" s="28"/>
      <c r="L1" s="17"/>
      <c r="M1" s="84" t="s">
        <v>237</v>
      </c>
    </row>
    <row r="2" spans="5:13" ht="15.75">
      <c r="E2" s="41" t="s">
        <v>2</v>
      </c>
      <c r="F2" s="28"/>
      <c r="G2" s="28"/>
      <c r="H2" s="42"/>
      <c r="K2" s="85"/>
      <c r="L2" s="86"/>
      <c r="M2" s="74" t="s">
        <v>246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247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+D8+'410'!D48</f>
        <v>0</v>
      </c>
      <c r="E10" s="184">
        <f>+E8+'410'!E48</f>
        <v>0</v>
      </c>
      <c r="F10" s="184">
        <f>+F8+'410'!F48</f>
        <v>0</v>
      </c>
      <c r="G10" s="184">
        <f>+G8+'410'!G48</f>
        <v>0</v>
      </c>
      <c r="H10" s="184">
        <f>+H8+'410'!H48</f>
        <v>0</v>
      </c>
      <c r="I10" s="184">
        <f>+I8+'410'!I48</f>
        <v>0</v>
      </c>
      <c r="J10" s="184">
        <f>+J8+'410'!J48</f>
        <v>0</v>
      </c>
      <c r="K10" s="184">
        <f>+K8+'410'!K48</f>
        <v>0</v>
      </c>
      <c r="L10" s="184">
        <f>+L8+'410'!L48</f>
        <v>0</v>
      </c>
      <c r="M10" s="184">
        <f>+M8+'410'!M48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790</v>
      </c>
      <c r="C14" s="59" t="s">
        <v>260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SUM(D18:D19)</f>
        <v>0</v>
      </c>
      <c r="E21" s="186">
        <f>SUM(E18:E19)</f>
        <v>0</v>
      </c>
      <c r="F21" s="186">
        <f aca="true" t="shared" si="1" ref="F21:M21">SUM(F17:F19)</f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SUM(D28,D21,D16,D10,'410'!D21)</f>
        <v>0</v>
      </c>
      <c r="E31" s="202">
        <f>SUM(E28,E21,E16,E10,'410'!E21)</f>
        <v>0</v>
      </c>
      <c r="F31" s="202">
        <f>SUM(F28,F21,F16,F10,'410'!F21)</f>
        <v>0</v>
      </c>
      <c r="G31" s="202">
        <f>SUM(G28,G21,G16,G10,'410'!G21)</f>
        <v>0</v>
      </c>
      <c r="H31" s="202">
        <f>SUM(H28,H21,H16,H10,'410'!H21)</f>
        <v>0</v>
      </c>
      <c r="I31" s="202">
        <f>SUM(I28,I21,I16,I10,'410'!I21)</f>
        <v>0</v>
      </c>
      <c r="J31" s="202">
        <f>SUM(J28,J21,J16,J10,'410'!J21)</f>
        <v>0</v>
      </c>
      <c r="K31" s="202">
        <f>SUM(K28,K21,K16,K10,'410'!K21)</f>
        <v>0</v>
      </c>
      <c r="L31" s="202">
        <f>SUM(L28,L21,L16,L10,'410'!L21)</f>
        <v>0</v>
      </c>
      <c r="M31" s="202">
        <f>SUM(M28,M21,M16,M10,'410'!M21)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2017-18.xls]410b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6640625" style="0" customWidth="1"/>
    <col min="4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84" t="s">
        <v>238</v>
      </c>
    </row>
    <row r="2" spans="5:13" ht="15.75">
      <c r="E2" s="1" t="s">
        <v>2</v>
      </c>
      <c r="F2" s="2"/>
      <c r="G2" s="2"/>
      <c r="K2" s="3"/>
      <c r="L2" s="4"/>
      <c r="M2" s="74" t="s">
        <v>248</v>
      </c>
    </row>
    <row r="3" spans="5:13" ht="15">
      <c r="E3" s="2" t="str">
        <f>Form!E3</f>
        <v>July 1, 2017 - June 30, 2018</v>
      </c>
      <c r="F3" s="2"/>
      <c r="G3" s="2"/>
      <c r="K3" s="3"/>
      <c r="L3" s="4"/>
      <c r="M3" s="74" t="s">
        <v>249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2017-18.xls]420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" customHeight="1">
      <c r="A48" s="16"/>
      <c r="B48" s="16"/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5" right="0.25" top="0" bottom="0.25" header="0.2" footer="0.18"/>
  <pageSetup fitToHeight="1" fitToWidth="1" horizontalDpi="600" verticalDpi="600" orientation="landscape" scale="7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312</v>
      </c>
    </row>
    <row r="2" spans="5:13" ht="15.75">
      <c r="E2" s="41" t="s">
        <v>2</v>
      </c>
      <c r="F2" s="28"/>
      <c r="G2" s="28"/>
      <c r="H2" s="42"/>
      <c r="K2" s="85"/>
      <c r="L2" s="86"/>
      <c r="M2" s="74" t="s">
        <v>248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249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+D8+'420'!D48</f>
        <v>0</v>
      </c>
      <c r="E10" s="184">
        <f>+E8+'420'!E48</f>
        <v>0</v>
      </c>
      <c r="F10" s="184">
        <f>+F8+'420'!F48</f>
        <v>0</v>
      </c>
      <c r="G10" s="184">
        <f>+G8+'420'!G48</f>
        <v>0</v>
      </c>
      <c r="H10" s="184">
        <f>+H8+'420'!H48</f>
        <v>0</v>
      </c>
      <c r="I10" s="184">
        <f>+I8+'420'!I48</f>
        <v>0</v>
      </c>
      <c r="J10" s="184">
        <f>+J8+'420'!J48</f>
        <v>0</v>
      </c>
      <c r="K10" s="184">
        <f>+K8+'420'!K48</f>
        <v>0</v>
      </c>
      <c r="L10" s="184">
        <f>+L8+'420'!L48</f>
        <v>0</v>
      </c>
      <c r="M10" s="184">
        <f>+M8+'420'!M48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790</v>
      </c>
      <c r="C14" s="59" t="s">
        <v>260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>
        <v>243500</v>
      </c>
      <c r="E18" s="98">
        <f>SUM(F18:M18)</f>
        <v>175000</v>
      </c>
      <c r="F18" s="111"/>
      <c r="G18" s="112"/>
      <c r="H18" s="113"/>
      <c r="I18" s="110">
        <f>135000+0</f>
        <v>135000</v>
      </c>
      <c r="J18" s="110">
        <v>40000</v>
      </c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>
        <v>243500</v>
      </c>
      <c r="E19" s="98">
        <f>SUM(F19:M19)</f>
        <v>521600</v>
      </c>
      <c r="F19" s="111"/>
      <c r="G19" s="112"/>
      <c r="H19" s="416">
        <f>41600+200000</f>
        <v>241600</v>
      </c>
      <c r="I19" s="110">
        <v>60000</v>
      </c>
      <c r="J19" s="110">
        <f>170000+50000</f>
        <v>220000</v>
      </c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487000</v>
      </c>
      <c r="E21" s="186">
        <f aca="true" t="shared" si="1" ref="E21:M21">SUM(E17:E19)</f>
        <v>696600</v>
      </c>
      <c r="F21" s="186">
        <f t="shared" si="1"/>
        <v>0</v>
      </c>
      <c r="G21" s="186">
        <f t="shared" si="1"/>
        <v>0</v>
      </c>
      <c r="H21" s="186">
        <f t="shared" si="1"/>
        <v>241600</v>
      </c>
      <c r="I21" s="186">
        <f t="shared" si="1"/>
        <v>195000</v>
      </c>
      <c r="J21" s="186">
        <f t="shared" si="1"/>
        <v>260000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SUM(D28,D21,D16,D10,'420'!D21)</f>
        <v>487000</v>
      </c>
      <c r="E31" s="202">
        <f>SUM(E28,E21,E16,E10,'420'!E21)</f>
        <v>696600</v>
      </c>
      <c r="F31" s="202">
        <f>SUM(F28,F21,F16,F10,'420'!F21)</f>
        <v>0</v>
      </c>
      <c r="G31" s="202">
        <f>SUM(G28,G21,G16,G10,'420'!G21)</f>
        <v>0</v>
      </c>
      <c r="H31" s="202">
        <f>SUM(H28,H21,H16,H10,'420'!H21)</f>
        <v>241600</v>
      </c>
      <c r="I31" s="202">
        <f>SUM(I28,I21,I16,I10,'420'!I21)</f>
        <v>195000</v>
      </c>
      <c r="J31" s="202">
        <f>SUM(J28,J21,J16,J10,'420'!J21)</f>
        <v>260000</v>
      </c>
      <c r="K31" s="202">
        <f>SUM(K28,K21,K16,K10,'420'!K21)</f>
        <v>0</v>
      </c>
      <c r="L31" s="202">
        <f>SUM(L28,L21,L16,L10,'420'!L21)</f>
        <v>0</v>
      </c>
      <c r="M31" s="202">
        <f>SUM(M28,M21,M16,M10,'420'!M21)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>
        <v>275239.42</v>
      </c>
      <c r="E42" s="193">
        <v>21716.36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>
        <v>475000</v>
      </c>
      <c r="E43" s="193">
        <f>+E31</f>
        <v>696600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750239.4199999999</v>
      </c>
      <c r="E44" s="193">
        <f>SUM(E42:E43)</f>
        <v>718316.36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487000</v>
      </c>
      <c r="E46" s="190">
        <f>E31</f>
        <v>696600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>
        <v>263239.42</v>
      </c>
      <c r="E47" s="195">
        <v>21716.36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750239.4199999999</v>
      </c>
      <c r="E48" s="197">
        <f>SUM(E46:E47)</f>
        <v>718316.36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2017-18.xls]420b</v>
      </c>
    </row>
    <row r="50" spans="4:5" ht="15">
      <c r="D50" s="437">
        <f>+D44-D48</f>
        <v>0</v>
      </c>
      <c r="E50" s="404">
        <f>+E44-E48</f>
        <v>0</v>
      </c>
    </row>
    <row r="51" ht="15">
      <c r="E51" s="418" t="s">
        <v>354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5:O53"/>
  <sheetViews>
    <sheetView zoomScalePageLayoutView="0" workbookViewId="0" topLeftCell="A19">
      <selection activeCell="D55" sqref="D55"/>
    </sheetView>
  </sheetViews>
  <sheetFormatPr defaultColWidth="8.88671875" defaultRowHeight="15"/>
  <cols>
    <col min="3" max="3" width="28.77734375" style="0" bestFit="1" customWidth="1"/>
    <col min="4" max="4" width="10.77734375" style="0" customWidth="1"/>
    <col min="5" max="5" width="14.10546875" style="0" customWidth="1"/>
    <col min="6" max="6" width="11.10546875" style="0" customWidth="1"/>
    <col min="7" max="7" width="10.10546875" style="0" customWidth="1"/>
    <col min="8" max="8" width="10.5546875" style="0" customWidth="1"/>
    <col min="9" max="9" width="10.21484375" style="0" customWidth="1"/>
    <col min="11" max="11" width="10.77734375" style="0" customWidth="1"/>
  </cols>
  <sheetData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29" ht="17.25" customHeight="1"/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/>
      <c r="E31" s="193">
        <f>+'220b'!E31+'241b'!E31+'243b'!E31+'245b'!E31+'246b'!E31+'251b'!E31+'257b'!E31+'258b'!E31+'263b'!E31+'270b'!E31+'271b'!E31+'273b'!E31+'284b'!E31+'290b'!E31+'310b'!E31+'420b'!E31+'100b'!E31</f>
        <v>19504213.704168633</v>
      </c>
      <c r="F31" s="193">
        <f>+'220b'!F31+'241b'!F31+'243b'!F31+'245b'!F31+'246b'!F31+'251b'!F31+'257b'!F31+'258b'!F31+'263b'!F31+'270b'!F31+'271b'!F31+'273b'!F31+'284b'!F31+'290b'!F31+'310b'!F31+'420b'!F31+'100b'!F31</f>
        <v>9140756.032698438</v>
      </c>
      <c r="G31" s="193">
        <f>+'220b'!G31+'241b'!G31+'243b'!G31+'245b'!G31+'246b'!G31+'251b'!G31+'257b'!G31+'258b'!G31+'263b'!G31+'270b'!G31+'271b'!G31+'273b'!G31+'284b'!G31+'290b'!G31+'310b'!G31+'420b'!G31+'100b'!G31</f>
        <v>2941976.3114701957</v>
      </c>
      <c r="H31" s="193">
        <f>+'220b'!H31+'241b'!H31+'243b'!H31+'245b'!H31+'246b'!H31+'251b'!H31+'257b'!H31+'258b'!H31+'263b'!H31+'270b'!H31+'271b'!H31+'273b'!H31+'284b'!H31+'290b'!H31+'310b'!H31+'420b'!H31+'100b'!H31</f>
        <v>1780850</v>
      </c>
      <c r="I31" s="193">
        <f>+'220b'!I31+'241b'!I31+'243b'!I31+'245b'!I31+'246b'!I31+'251b'!I31+'257b'!I31+'258b'!I31+'263b'!I31+'270b'!I31+'271b'!I31+'273b'!I31+'284b'!I31+'290b'!I31+'310b'!I31+'420b'!I31+'100b'!I31</f>
        <v>1434814.4100000001</v>
      </c>
      <c r="J31" s="193">
        <f>+'220b'!J31+'241b'!J31+'243b'!J31+'245b'!J31+'246b'!J31+'251b'!J31+'257b'!J31+'258b'!J31+'263b'!J31+'270b'!J31+'271b'!J31+'273b'!J31+'284b'!J31+'290b'!J31+'310b'!J31+'420b'!J31+'100b'!J31</f>
        <v>455017</v>
      </c>
      <c r="K31" s="193">
        <f>+'220b'!K31+'241b'!K31+'243b'!K31+'245b'!K31+'246b'!K31+'251b'!K31+'257b'!K31+'258b'!K31+'263b'!K31+'270b'!K31+'271b'!K31+'273b'!K31+'284b'!K31+'290b'!K31+'310b'!K31+'420b'!K31+'100b'!K31</f>
        <v>3410144</v>
      </c>
      <c r="L31" s="193">
        <f>+'220b'!L31+'241b'!L31+'243b'!L31+'245b'!L31+'246b'!L31+'251b'!L31+'257b'!L31+'258b'!L31+'263b'!L31+'270b'!L31+'271b'!L31+'273b'!L31+'284b'!L31+'290b'!L31+'310b'!L31+'420b'!L31+'100b'!L31</f>
        <v>60305.95</v>
      </c>
      <c r="M31" s="193">
        <f>+'220b'!M31+'241b'!M31+'243b'!M31+'245b'!M31+'246b'!M31+'251b'!M31+'257b'!M31+'258b'!M31+'263b'!M31+'270b'!M31+'271b'!M31+'273b'!M31+'284b'!M31+'290b'!M31+'310b'!M31+'420b'!M31+'100b'!M31</f>
        <v>280350</v>
      </c>
    </row>
    <row r="34" ht="15">
      <c r="E34" s="415"/>
    </row>
    <row r="35" spans="3:5" ht="15">
      <c r="C35" s="418" t="s">
        <v>359</v>
      </c>
      <c r="E35" s="415">
        <f>-E31+E46</f>
        <v>545301.6199999973</v>
      </c>
    </row>
    <row r="37" spans="5:6" ht="15">
      <c r="E37" s="415">
        <f>+E31+E35</f>
        <v>20049515.32416863</v>
      </c>
      <c r="F37" s="418" t="s">
        <v>358</v>
      </c>
    </row>
    <row r="42" spans="1:15" ht="12" customHeight="1">
      <c r="A42" s="58" t="s">
        <v>206</v>
      </c>
      <c r="B42" s="137"/>
      <c r="C42" s="182" t="s">
        <v>197</v>
      </c>
      <c r="D42" s="193"/>
      <c r="E42" s="193">
        <f>+'220b'!E42+'241b'!E42+'243b'!E42+'245b'!E42+'246b'!E42+'251b'!E42+'257b'!E42+'258b'!E42+'263b'!E42+'270b'!E42+'271b'!E42+'273b'!E42+'284b'!E42+'290b'!E42+'310b'!E42+'420b'!E42+'100b'!E42</f>
        <v>4863344.57</v>
      </c>
      <c r="F42" s="140" t="s">
        <v>194</v>
      </c>
      <c r="G42" s="140"/>
      <c r="H42" s="140"/>
      <c r="I42" s="140"/>
      <c r="J42" s="70"/>
      <c r="M42" s="50"/>
      <c r="O42" s="193">
        <f>+'220b'!O42+'241b'!O42+'243b'!O42+'245b'!O42+'246b'!O42+'251b'!O42+'257b'!O42+'258b'!O42+'263b'!O42+'270b'!O42+'271b'!O42+'273b'!O42+'284b'!O42+'290b'!O42+'310b'!O42+'420b'!O42+'100b'!O42</f>
        <v>0</v>
      </c>
    </row>
    <row r="43" spans="1:13" ht="12" customHeight="1">
      <c r="A43" s="58" t="s">
        <v>268</v>
      </c>
      <c r="B43" s="137"/>
      <c r="C43" s="182" t="s">
        <v>199</v>
      </c>
      <c r="D43" s="193"/>
      <c r="E43" s="193">
        <f>+'220b'!E43+'241b'!E43+'243b'!E43+'245b'!E43+'246b'!E43+'251b'!E43+'257b'!E43+'258b'!E43+'263b'!E43+'270b'!E43+'271b'!E43+'273b'!E43+'284b'!E43+'290b'!E43+'310b'!E43+'420b'!E43+'100b'!E43</f>
        <v>18073967.32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22937311.89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3">
        <f>+'220b'!E46+'241b'!E46+'243b'!E46+'245b'!E46+'246b'!E46+'251b'!E46+'257b'!E46+'258b'!E46+'263b'!E46+'270b'!E46+'271b'!E46+'273b'!E46+'284b'!E46+'290b'!E46+'310b'!E46+'420b'!E46+'100b'!E46</f>
        <v>20049515.32416863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3">
        <f>+'220b'!E47+'241b'!E47+'243b'!E47+'245b'!E47+'246b'!E47+'251b'!E47+'257b'!E47+'258b'!E47+'263b'!E47+'270b'!E47+'271b'!E47+'273b'!E47+'284b'!E47+'290b'!E47+'310b'!E47+'420b'!E47+'100b'!E47</f>
        <v>2887796.57</v>
      </c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6">
        <f>SUM(E46:E47)</f>
        <v>22937311.89416863</v>
      </c>
      <c r="F48" s="3"/>
      <c r="G48" s="3"/>
      <c r="H48" s="3"/>
      <c r="I48" s="3"/>
      <c r="J48" s="3"/>
      <c r="K48" s="3"/>
      <c r="L48" s="3"/>
      <c r="M48" s="64"/>
    </row>
    <row r="50" ht="15">
      <c r="E50" s="404">
        <f>+E44-E48</f>
        <v>-0.0041686296463012695</v>
      </c>
    </row>
    <row r="52" ht="15">
      <c r="E52" s="415"/>
    </row>
    <row r="53" ht="15">
      <c r="E53" s="415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6640625" style="0" customWidth="1"/>
    <col min="4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84" t="s">
        <v>240</v>
      </c>
    </row>
    <row r="2" spans="5:13" ht="15.75">
      <c r="E2" s="1" t="s">
        <v>2</v>
      </c>
      <c r="F2" s="2"/>
      <c r="G2" s="2"/>
      <c r="K2" s="3"/>
      <c r="L2" s="4"/>
      <c r="M2" s="74" t="s">
        <v>282</v>
      </c>
    </row>
    <row r="3" spans="5:13" ht="15">
      <c r="E3" s="2" t="str">
        <f>Form!E3</f>
        <v>July 1, 2017 - June 30, 2018</v>
      </c>
      <c r="F3" s="2"/>
      <c r="G3" s="2"/>
      <c r="K3" s="3"/>
      <c r="L3" s="4"/>
      <c r="M3" s="74" t="s">
        <v>277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2017-18.xls]430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" customHeight="1">
      <c r="A48" s="16"/>
      <c r="B48" s="16"/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5" right="0.25" top="0" bottom="0.25" header="0.2" footer="0.18"/>
  <pageSetup fitToHeight="1" fitToWidth="1" horizontalDpi="600" verticalDpi="600" orientation="landscape" scale="7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105468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84" t="s">
        <v>241</v>
      </c>
    </row>
    <row r="2" spans="5:13" ht="15.75">
      <c r="E2" s="41" t="s">
        <v>2</v>
      </c>
      <c r="F2" s="28"/>
      <c r="G2" s="28"/>
      <c r="H2" s="42"/>
      <c r="K2" s="85"/>
      <c r="L2" s="86"/>
      <c r="M2" s="74" t="s">
        <v>282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277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+D8+'430'!D48</f>
        <v>0</v>
      </c>
      <c r="E10" s="184">
        <f>+E8+'430'!E48</f>
        <v>0</v>
      </c>
      <c r="F10" s="184">
        <f>+F8+'430'!F48</f>
        <v>0</v>
      </c>
      <c r="G10" s="184">
        <f>+G8+'430'!G48</f>
        <v>0</v>
      </c>
      <c r="H10" s="184">
        <f>+H8+'430'!H48</f>
        <v>0</v>
      </c>
      <c r="I10" s="184">
        <f>+I8+'430'!I48</f>
        <v>0</v>
      </c>
      <c r="J10" s="184">
        <f>+J8+'430'!J48</f>
        <v>0</v>
      </c>
      <c r="K10" s="184">
        <f>+K8+'430'!K48</f>
        <v>0</v>
      </c>
      <c r="L10" s="184">
        <f>+L8+'430'!L48</f>
        <v>0</v>
      </c>
      <c r="M10" s="184">
        <f>+M8+'430'!M48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790</v>
      </c>
      <c r="C14" s="59" t="s">
        <v>260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SUM(D28,D21,D16,D10,'430'!D21)</f>
        <v>0</v>
      </c>
      <c r="E31" s="202">
        <f>SUM(E28,E21,E16,E10,'430'!E21)</f>
        <v>0</v>
      </c>
      <c r="F31" s="202">
        <f>SUM(F28,F21,F16,F10,'430'!F21)</f>
        <v>0</v>
      </c>
      <c r="G31" s="202">
        <f>SUM(G28,G21,G16,G10,'430'!G21)</f>
        <v>0</v>
      </c>
      <c r="H31" s="202">
        <f>SUM(H28,H21,H16,H10,'430'!H21)</f>
        <v>0</v>
      </c>
      <c r="I31" s="202">
        <f>SUM(I28,I21,I16,I10,'430'!I21)</f>
        <v>0</v>
      </c>
      <c r="J31" s="202">
        <f>SUM(J28,J21,J16,J10,'430'!J21)</f>
        <v>0</v>
      </c>
      <c r="K31" s="202">
        <f>SUM(K28,K21,K16,K10,'430'!K21)</f>
        <v>0</v>
      </c>
      <c r="L31" s="202">
        <f>SUM(L28,L21,L16,L10,'430'!L21)</f>
        <v>0</v>
      </c>
      <c r="M31" s="202">
        <f>SUM(M28,M21,M16,M10,'430'!M21)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2017-18.xls]430b</v>
      </c>
    </row>
  </sheetData>
  <sheetProtection/>
  <mergeCells count="2">
    <mergeCell ref="D36:D37"/>
    <mergeCell ref="E36:E3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77734375" style="0" customWidth="1"/>
    <col min="7" max="13" width="11.10546875" style="0" customWidth="1"/>
  </cols>
  <sheetData>
    <row r="1" spans="1:12" ht="15.75">
      <c r="A1" s="244" t="s">
        <v>0</v>
      </c>
      <c r="B1" s="128"/>
      <c r="C1" s="143"/>
      <c r="D1" s="41" t="s">
        <v>1</v>
      </c>
      <c r="E1" s="28"/>
      <c r="F1" s="28"/>
      <c r="G1" s="28"/>
      <c r="K1" s="17"/>
      <c r="L1" s="29" t="s">
        <v>227</v>
      </c>
    </row>
    <row r="2" spans="4:12" ht="15.75">
      <c r="D2" s="41" t="s">
        <v>2</v>
      </c>
      <c r="E2" s="28"/>
      <c r="F2" s="28"/>
      <c r="G2" s="42"/>
      <c r="J2" s="19"/>
      <c r="K2" s="75"/>
      <c r="L2" s="76" t="s">
        <v>123</v>
      </c>
    </row>
    <row r="3" spans="4:12" ht="15">
      <c r="D3" s="2"/>
      <c r="E3" s="72" t="str">
        <f>Form!E3</f>
        <v>July 1, 2017 - June 30, 2018</v>
      </c>
      <c r="F3" s="2"/>
      <c r="G3" s="42"/>
      <c r="I3" s="43" t="s">
        <v>146</v>
      </c>
      <c r="K3" s="73"/>
      <c r="L3" s="74" t="s">
        <v>210</v>
      </c>
    </row>
    <row r="4" spans="1:11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+D8+'220'!D48</f>
        <v>0</v>
      </c>
      <c r="E10" s="184">
        <f>+E8+'220'!E48</f>
        <v>0</v>
      </c>
      <c r="F10" s="184">
        <f>+F8+'220'!F48</f>
        <v>0</v>
      </c>
      <c r="G10" s="184">
        <f>+G8+'220'!G48</f>
        <v>0</v>
      </c>
      <c r="H10" s="184">
        <f>+H8+'220'!H48</f>
        <v>0</v>
      </c>
      <c r="I10" s="184">
        <f>+I8+'220'!I48</f>
        <v>0</v>
      </c>
      <c r="J10" s="184">
        <f>+J8+'220'!J48</f>
        <v>0</v>
      </c>
      <c r="K10" s="184">
        <f>+K8+'220'!K48</f>
        <v>0</v>
      </c>
      <c r="L10" s="184">
        <f>+L8+'220'!L48</f>
        <v>0</v>
      </c>
      <c r="M10" s="184">
        <f>+M8+'220'!M48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>
        <v>33000</v>
      </c>
      <c r="E26" s="98">
        <f>SUM(F26:M26)</f>
        <v>2100</v>
      </c>
      <c r="F26" s="111"/>
      <c r="G26" s="112"/>
      <c r="H26" s="113"/>
      <c r="I26" s="110"/>
      <c r="J26" s="110"/>
      <c r="K26" s="110"/>
      <c r="L26" s="110"/>
      <c r="M26" s="110">
        <v>2100</v>
      </c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33000</v>
      </c>
      <c r="E28" s="210">
        <f>SUM(E23:E27)</f>
        <v>2100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2100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SUM(D28,D21,D16,D10,'220'!D21)</f>
        <v>33000</v>
      </c>
      <c r="E31" s="202">
        <f>SUM(E28,E21,E16,E10,'220'!E21)</f>
        <v>2100</v>
      </c>
      <c r="F31" s="202">
        <f>SUM(F28,F21,F16,F10,'220'!F21)</f>
        <v>0</v>
      </c>
      <c r="G31" s="202">
        <f>SUM(G28,G21,G16,G10,'220'!G21)</f>
        <v>0</v>
      </c>
      <c r="H31" s="202">
        <f>SUM(H28,H21,H16,H10,'220'!H21)</f>
        <v>0</v>
      </c>
      <c r="I31" s="202">
        <f>SUM(I28,I21,I16,I10,'220'!I21)</f>
        <v>0</v>
      </c>
      <c r="J31" s="202">
        <f>SUM(J28,J21,J16,J10,'220'!J21)</f>
        <v>0</v>
      </c>
      <c r="K31" s="202">
        <f>SUM(K28,K21,K16,K10,'220'!K21)</f>
        <v>0</v>
      </c>
      <c r="L31" s="202">
        <f>SUM(L28,L21,L16,L10,'220'!L21)</f>
        <v>0</v>
      </c>
      <c r="M31" s="202">
        <f>SUM(M28,M21,M16,M10,'220'!M21)</f>
        <v>2100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73"/>
      <c r="C40" s="174" t="s">
        <v>193</v>
      </c>
      <c r="D40" s="175"/>
      <c r="E40" s="17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77"/>
      <c r="C41" s="178"/>
      <c r="D41" s="204"/>
      <c r="E41" s="205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77"/>
      <c r="C42" s="203" t="s">
        <v>197</v>
      </c>
      <c r="D42" s="193">
        <v>0</v>
      </c>
      <c r="E42" s="193">
        <v>0</v>
      </c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77"/>
      <c r="C43" s="203" t="s">
        <v>199</v>
      </c>
      <c r="D43" s="193">
        <v>33000</v>
      </c>
      <c r="E43" s="193">
        <v>2100</v>
      </c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77"/>
      <c r="C44" s="203" t="s">
        <v>285</v>
      </c>
      <c r="D44" s="193">
        <f>SUM(D42:D43)</f>
        <v>33000</v>
      </c>
      <c r="E44" s="193">
        <f>SUM(E42:E43)</f>
        <v>2100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77"/>
      <c r="C45" s="178"/>
      <c r="D45" s="179"/>
      <c r="E45" s="206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77"/>
      <c r="C46" s="178" t="s">
        <v>203</v>
      </c>
      <c r="D46" s="189">
        <f>D31</f>
        <v>33000</v>
      </c>
      <c r="E46" s="190">
        <f>E31</f>
        <v>2100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77"/>
      <c r="C47" s="178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80"/>
      <c r="C48" s="181" t="s">
        <v>286</v>
      </c>
      <c r="D48" s="196">
        <f>SUM(D46:D47)</f>
        <v>33000</v>
      </c>
      <c r="E48" s="197">
        <f>SUM(E46:E47)</f>
        <v>2100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2017-18.xls]220b</v>
      </c>
    </row>
    <row r="50" spans="4:5" ht="15">
      <c r="D50" t="s">
        <v>354</v>
      </c>
      <c r="E50" t="s">
        <v>354</v>
      </c>
    </row>
  </sheetData>
  <sheetProtection/>
  <mergeCells count="2">
    <mergeCell ref="D36:D37"/>
    <mergeCell ref="E36:E37"/>
  </mergeCells>
  <printOptions horizont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29" t="s">
        <v>313</v>
      </c>
    </row>
    <row r="2" spans="5:13" ht="15.75">
      <c r="E2" s="1" t="s">
        <v>2</v>
      </c>
      <c r="F2" s="2"/>
      <c r="G2" s="2"/>
      <c r="M2" s="25" t="s">
        <v>144</v>
      </c>
    </row>
    <row r="3" spans="5:13" ht="15">
      <c r="E3" s="2" t="str">
        <f>Form!E3</f>
        <v>July 1, 2017 - June 30, 2018</v>
      </c>
      <c r="F3" s="2"/>
      <c r="G3" s="2"/>
      <c r="M3" s="25" t="s">
        <v>145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2017-18.xls]710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13" width="11.10546875" style="0" customWidth="1"/>
  </cols>
  <sheetData>
    <row r="1" spans="1:13" ht="15.75">
      <c r="A1" s="244" t="s">
        <v>0</v>
      </c>
      <c r="C1" s="143"/>
      <c r="E1" s="41" t="s">
        <v>1</v>
      </c>
      <c r="F1" s="28"/>
      <c r="G1" s="28"/>
      <c r="H1" s="28"/>
      <c r="L1" s="17"/>
      <c r="M1" s="84" t="s">
        <v>278</v>
      </c>
    </row>
    <row r="2" spans="5:13" ht="15.75">
      <c r="E2" s="41" t="s">
        <v>2</v>
      </c>
      <c r="F2" s="28"/>
      <c r="G2" s="28"/>
      <c r="H2" s="42"/>
      <c r="K2" s="85"/>
      <c r="L2" s="86"/>
      <c r="M2" s="74" t="s">
        <v>144</v>
      </c>
    </row>
    <row r="3" spans="5:13" ht="15">
      <c r="E3" s="2" t="str">
        <f>Form!E3</f>
        <v>July 1, 2017 - June 30, 2018</v>
      </c>
      <c r="F3" s="2"/>
      <c r="G3" s="2"/>
      <c r="H3" s="42"/>
      <c r="J3" s="43" t="s">
        <v>146</v>
      </c>
      <c r="K3" s="85"/>
      <c r="L3" s="78"/>
      <c r="M3" s="74" t="s">
        <v>250</v>
      </c>
    </row>
    <row r="4" spans="1:12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+D8+'710'!D48</f>
        <v>0</v>
      </c>
      <c r="E10" s="184">
        <f>+E8+'710'!E48</f>
        <v>0</v>
      </c>
      <c r="F10" s="184">
        <f>+F8+'710'!F48</f>
        <v>0</v>
      </c>
      <c r="G10" s="184">
        <f>+G8+'710'!G48</f>
        <v>0</v>
      </c>
      <c r="H10" s="184">
        <f>+H8+'710'!H48</f>
        <v>0</v>
      </c>
      <c r="I10" s="184">
        <f>+I8+'710'!I48</f>
        <v>0</v>
      </c>
      <c r="J10" s="184">
        <f>+J8+'710'!J48</f>
        <v>0</v>
      </c>
      <c r="K10" s="184">
        <f>+K8+'710'!K48</f>
        <v>0</v>
      </c>
      <c r="L10" s="184">
        <f>+L8+'710'!L48</f>
        <v>0</v>
      </c>
      <c r="M10" s="184">
        <f>+M8+'710'!M48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790</v>
      </c>
      <c r="C14" s="59" t="s">
        <v>260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s="126" customFormat="1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s="126" customFormat="1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13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SUM(D28,D21,D16,D10,'710'!D21)</f>
        <v>0</v>
      </c>
      <c r="E31" s="202">
        <f>SUM(E28,E21,E16,E10,'710'!E21)</f>
        <v>0</v>
      </c>
      <c r="F31" s="202">
        <f>SUM(F28,F21,F16,F10,'710'!F21)</f>
        <v>0</v>
      </c>
      <c r="G31" s="202">
        <f>SUM(G28,G21,G16,G10,'710'!G21)</f>
        <v>0</v>
      </c>
      <c r="H31" s="202">
        <f>SUM(H28,H21,H16,H10,'710'!H21)</f>
        <v>0</v>
      </c>
      <c r="I31" s="202">
        <f>SUM(I28,I21,I16,I10,'710'!I21)</f>
        <v>0</v>
      </c>
      <c r="J31" s="202">
        <f>SUM(J28,J21,J16,J10,'710'!J21)</f>
        <v>0</v>
      </c>
      <c r="K31" s="202">
        <f>SUM(K28,K21,K16,K10,'710'!K21)</f>
        <v>0</v>
      </c>
      <c r="L31" s="202">
        <f>SUM(L28,L21,L16,L10,'710'!L21)</f>
        <v>0</v>
      </c>
      <c r="M31" s="202">
        <f>SUM(M28,M21,M16,M10,'710'!M21)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71" t="str">
        <f ca="1">CELL("FILENAME",A2)</f>
        <v>C:\Users\cchurch\Desktop\Documents\Budget\2017-2018 Budget\[Expenditures 2017-18.xls]710b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2"/>
  <pageSetup fitToHeight="1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defaultGridColor="0" zoomScalePageLayoutView="0" colorId="22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6.77734375" style="0" customWidth="1"/>
    <col min="4" max="7" width="11.77734375" style="0" customWidth="1"/>
    <col min="8" max="12" width="9.77734375" style="0" customWidth="1"/>
    <col min="13" max="13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29" t="s">
        <v>209</v>
      </c>
    </row>
    <row r="2" spans="5:13" ht="15.75">
      <c r="E2" s="1" t="s">
        <v>2</v>
      </c>
      <c r="F2" s="22"/>
      <c r="G2" s="22"/>
      <c r="H2" s="23" t="s">
        <v>125</v>
      </c>
      <c r="I2" s="20"/>
      <c r="J2" s="20"/>
      <c r="K2" s="3" t="s">
        <v>126</v>
      </c>
      <c r="L2" s="4"/>
      <c r="M2" s="3"/>
    </row>
    <row r="3" spans="5:13" ht="15">
      <c r="E3" s="2" t="str">
        <f>Form!E3</f>
        <v>July 1, 2017 - June 30, 2018</v>
      </c>
      <c r="F3" s="2"/>
      <c r="G3" s="2"/>
      <c r="H3" s="23" t="s">
        <v>127</v>
      </c>
      <c r="I3" s="20"/>
      <c r="J3" s="20"/>
      <c r="K3" s="3" t="s">
        <v>3</v>
      </c>
      <c r="L3" s="4"/>
      <c r="M3" s="3"/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2017-18.xls]local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 horizontalCentered="1" verticalCentered="1"/>
  <pageMargins left="0.25" right="0.25" top="0" bottom="0" header="0.5" footer="0.5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77734375" style="0" customWidth="1"/>
    <col min="2" max="2" width="7.77734375" style="129" customWidth="1"/>
    <col min="3" max="3" width="29.77734375" style="0" customWidth="1"/>
    <col min="4" max="6" width="11.3359375" style="0" customWidth="1"/>
    <col min="7" max="9" width="10.99609375" style="0" customWidth="1"/>
    <col min="10" max="13" width="11.3359375" style="0" customWidth="1"/>
  </cols>
  <sheetData>
    <row r="1" spans="1:13" ht="15.75">
      <c r="A1" s="244" t="s">
        <v>0</v>
      </c>
      <c r="B1" s="128"/>
      <c r="C1" s="143"/>
      <c r="E1" s="41" t="s">
        <v>1</v>
      </c>
      <c r="F1" s="28"/>
      <c r="G1" s="28"/>
      <c r="H1" s="28"/>
      <c r="L1" s="17"/>
      <c r="M1" s="29" t="s">
        <v>299</v>
      </c>
    </row>
    <row r="2" spans="5:13" ht="15.75">
      <c r="E2" s="41" t="s">
        <v>2</v>
      </c>
      <c r="F2" s="28"/>
      <c r="G2" s="28"/>
      <c r="H2" s="42"/>
      <c r="I2" s="79" t="s">
        <v>125</v>
      </c>
      <c r="K2" s="80" t="s">
        <v>211</v>
      </c>
      <c r="L2" s="75"/>
      <c r="M2" s="76"/>
    </row>
    <row r="3" spans="5:13" ht="15">
      <c r="E3" s="2" t="str">
        <f>Form!E3</f>
        <v>July 1, 2017 - June 30, 2018</v>
      </c>
      <c r="F3" s="2"/>
      <c r="G3" s="2"/>
      <c r="H3" s="42"/>
      <c r="I3" s="79" t="s">
        <v>127</v>
      </c>
      <c r="K3" s="81" t="s">
        <v>3</v>
      </c>
      <c r="L3" s="82"/>
      <c r="M3" s="83"/>
    </row>
    <row r="4" spans="1:13" ht="12" customHeight="1">
      <c r="A4" s="16" t="s">
        <v>4</v>
      </c>
      <c r="B4" s="128"/>
      <c r="C4" s="16"/>
      <c r="D4" s="16"/>
      <c r="E4" s="16"/>
      <c r="F4" s="16"/>
      <c r="G4" s="16"/>
      <c r="H4" s="16"/>
      <c r="I4" s="16"/>
      <c r="J4" s="16"/>
      <c r="K4" s="16"/>
      <c r="L4" s="77"/>
      <c r="M4" s="78"/>
    </row>
    <row r="5" spans="1:13" ht="12" customHeight="1">
      <c r="A5" s="44"/>
      <c r="B5" s="45"/>
      <c r="C5" s="45" t="s">
        <v>2</v>
      </c>
      <c r="D5" s="45" t="s">
        <v>5</v>
      </c>
      <c r="E5" s="45" t="s">
        <v>147</v>
      </c>
      <c r="F5" s="46" t="s">
        <v>7</v>
      </c>
      <c r="G5" s="46" t="s">
        <v>8</v>
      </c>
      <c r="H5" s="46" t="s">
        <v>9</v>
      </c>
      <c r="I5" s="46" t="s">
        <v>10</v>
      </c>
      <c r="J5" s="46" t="s">
        <v>11</v>
      </c>
      <c r="K5" s="47" t="s">
        <v>12</v>
      </c>
      <c r="L5" s="45" t="s">
        <v>13</v>
      </c>
      <c r="M5" s="45" t="s">
        <v>14</v>
      </c>
    </row>
    <row r="6" spans="1:13" ht="12" customHeight="1">
      <c r="A6" s="48"/>
      <c r="B6" s="54"/>
      <c r="C6" s="49"/>
      <c r="D6" s="49"/>
      <c r="E6" s="50"/>
      <c r="F6" s="16"/>
      <c r="G6" s="51"/>
      <c r="H6" s="52" t="s">
        <v>15</v>
      </c>
      <c r="I6" s="52" t="s">
        <v>16</v>
      </c>
      <c r="J6" s="53" t="s">
        <v>17</v>
      </c>
      <c r="K6" s="54" t="s">
        <v>18</v>
      </c>
      <c r="L6" s="54" t="s">
        <v>19</v>
      </c>
      <c r="M6" s="49"/>
    </row>
    <row r="7" spans="1:13" ht="12" customHeight="1">
      <c r="A7" s="55" t="s">
        <v>20</v>
      </c>
      <c r="B7" s="56" t="s">
        <v>21</v>
      </c>
      <c r="C7" s="56" t="s">
        <v>22</v>
      </c>
      <c r="D7" s="56" t="s">
        <v>23</v>
      </c>
      <c r="E7" s="56" t="s">
        <v>23</v>
      </c>
      <c r="F7" s="57" t="s">
        <v>24</v>
      </c>
      <c r="G7" s="58" t="s">
        <v>25</v>
      </c>
      <c r="H7" s="58" t="s">
        <v>26</v>
      </c>
      <c r="I7" s="58" t="s">
        <v>27</v>
      </c>
      <c r="J7" s="55" t="s">
        <v>28</v>
      </c>
      <c r="K7" s="56" t="s">
        <v>29</v>
      </c>
      <c r="L7" s="56" t="s">
        <v>30</v>
      </c>
      <c r="M7" s="56" t="s">
        <v>31</v>
      </c>
    </row>
    <row r="8" spans="1:13" ht="12" customHeight="1">
      <c r="A8" s="55" t="s">
        <v>148</v>
      </c>
      <c r="B8" s="56" t="s">
        <v>149</v>
      </c>
      <c r="C8" s="59" t="s">
        <v>150</v>
      </c>
      <c r="D8" s="106"/>
      <c r="E8" s="93">
        <f>SUM(F8:M8)</f>
        <v>0</v>
      </c>
      <c r="F8" s="107"/>
      <c r="G8" s="108"/>
      <c r="H8" s="109"/>
      <c r="I8" s="106"/>
      <c r="J8" s="106"/>
      <c r="K8" s="106"/>
      <c r="L8" s="106"/>
      <c r="M8" s="106"/>
    </row>
    <row r="9" spans="1:13" ht="12" customHeight="1">
      <c r="A9" s="55" t="s">
        <v>151</v>
      </c>
      <c r="B9" s="56"/>
      <c r="C9" s="59"/>
      <c r="D9" s="183"/>
      <c r="E9" s="183"/>
      <c r="F9" s="207"/>
      <c r="G9" s="208"/>
      <c r="H9" s="209"/>
      <c r="I9" s="183"/>
      <c r="J9" s="183"/>
      <c r="K9" s="183"/>
      <c r="L9" s="183"/>
      <c r="M9" s="183"/>
    </row>
    <row r="10" spans="1:13" ht="12" customHeight="1">
      <c r="A10" s="55" t="s">
        <v>152</v>
      </c>
      <c r="B10" s="56" t="s">
        <v>12</v>
      </c>
      <c r="C10" s="182" t="s">
        <v>153</v>
      </c>
      <c r="D10" s="184">
        <f>+D8+local!D48</f>
        <v>0</v>
      </c>
      <c r="E10" s="184">
        <f>+E8+local!E48</f>
        <v>0</v>
      </c>
      <c r="F10" s="184">
        <f>+F8+local!F48</f>
        <v>0</v>
      </c>
      <c r="G10" s="184">
        <f>+G8+local!G48</f>
        <v>0</v>
      </c>
      <c r="H10" s="184">
        <f>+H8+local!H48</f>
        <v>0</v>
      </c>
      <c r="I10" s="184">
        <f>+I8+local!I48</f>
        <v>0</v>
      </c>
      <c r="J10" s="184">
        <f>+J8+local!J48</f>
        <v>0</v>
      </c>
      <c r="K10" s="184">
        <f>+K8+local!K48</f>
        <v>0</v>
      </c>
      <c r="L10" s="184">
        <f>+L8+local!L48</f>
        <v>0</v>
      </c>
      <c r="M10" s="184">
        <f>+M8+local!M48</f>
        <v>0</v>
      </c>
    </row>
    <row r="11" spans="1:13" ht="12" customHeight="1">
      <c r="A11" s="55" t="s">
        <v>154</v>
      </c>
      <c r="B11" s="130"/>
      <c r="C11" s="64"/>
      <c r="D11" s="60"/>
      <c r="E11" s="60"/>
      <c r="F11" s="61"/>
      <c r="G11" s="62"/>
      <c r="H11" s="63"/>
      <c r="I11" s="60"/>
      <c r="J11" s="60"/>
      <c r="K11" s="60"/>
      <c r="L11" s="60"/>
      <c r="M11" s="60"/>
    </row>
    <row r="12" spans="1:13" ht="12" customHeight="1">
      <c r="A12" s="55" t="s">
        <v>155</v>
      </c>
      <c r="B12" s="56" t="s">
        <v>156</v>
      </c>
      <c r="C12" s="59" t="s">
        <v>262</v>
      </c>
      <c r="D12" s="110"/>
      <c r="E12" s="98">
        <f>SUM(F12:M12)</f>
        <v>0</v>
      </c>
      <c r="F12" s="111"/>
      <c r="G12" s="112"/>
      <c r="H12" s="113"/>
      <c r="I12" s="110"/>
      <c r="J12" s="110"/>
      <c r="K12" s="110"/>
      <c r="L12" s="110"/>
      <c r="M12" s="110"/>
    </row>
    <row r="13" spans="1:13" ht="12" customHeight="1">
      <c r="A13" s="55" t="s">
        <v>157</v>
      </c>
      <c r="B13" s="56" t="s">
        <v>158</v>
      </c>
      <c r="C13" s="59" t="s">
        <v>159</v>
      </c>
      <c r="D13" s="110"/>
      <c r="E13" s="98">
        <f>SUM(F13:M13)</f>
        <v>0</v>
      </c>
      <c r="F13" s="111"/>
      <c r="G13" s="112"/>
      <c r="H13" s="113"/>
      <c r="I13" s="110"/>
      <c r="J13" s="110"/>
      <c r="K13" s="110"/>
      <c r="L13" s="110"/>
      <c r="M13" s="110"/>
    </row>
    <row r="14" spans="1:13" ht="12" customHeight="1">
      <c r="A14" s="55" t="s">
        <v>160</v>
      </c>
      <c r="B14" s="56">
        <v>730</v>
      </c>
      <c r="C14" s="59" t="s">
        <v>261</v>
      </c>
      <c r="D14" s="110"/>
      <c r="E14" s="98">
        <f>SUM(F14:M14)</f>
        <v>0</v>
      </c>
      <c r="F14" s="111"/>
      <c r="G14" s="112"/>
      <c r="H14" s="113"/>
      <c r="I14" s="110"/>
      <c r="J14" s="110"/>
      <c r="K14" s="110"/>
      <c r="L14" s="110"/>
      <c r="M14" s="110"/>
    </row>
    <row r="15" spans="1:13" ht="12" customHeight="1">
      <c r="A15" s="55" t="s">
        <v>161</v>
      </c>
      <c r="B15" s="56"/>
      <c r="C15" s="59"/>
      <c r="D15" s="114"/>
      <c r="E15" s="114"/>
      <c r="F15" s="211"/>
      <c r="G15" s="212"/>
      <c r="H15" s="213"/>
      <c r="I15" s="185"/>
      <c r="J15" s="185"/>
      <c r="K15" s="185"/>
      <c r="L15" s="185"/>
      <c r="M15" s="185"/>
    </row>
    <row r="16" spans="1:22" ht="12" customHeight="1">
      <c r="A16" s="55" t="s">
        <v>163</v>
      </c>
      <c r="B16" s="56" t="s">
        <v>13</v>
      </c>
      <c r="C16" s="59" t="s">
        <v>162</v>
      </c>
      <c r="D16" s="187">
        <f>SUM(D12:D14)</f>
        <v>0</v>
      </c>
      <c r="E16" s="210">
        <f aca="true" t="shared" si="0" ref="E16:M16">SUM(E12:E14)</f>
        <v>0</v>
      </c>
      <c r="F16" s="186">
        <f t="shared" si="0"/>
        <v>0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>
        <f t="shared" si="0"/>
        <v>0</v>
      </c>
      <c r="K16" s="186">
        <f t="shared" si="0"/>
        <v>0</v>
      </c>
      <c r="L16" s="186">
        <f t="shared" si="0"/>
        <v>0</v>
      </c>
      <c r="M16" s="186">
        <f t="shared" si="0"/>
        <v>0</v>
      </c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13" ht="12" customHeight="1">
      <c r="A17" s="55" t="s">
        <v>164</v>
      </c>
      <c r="B17" s="56"/>
      <c r="C17" s="59"/>
      <c r="D17" s="114"/>
      <c r="E17" s="114"/>
      <c r="F17" s="115"/>
      <c r="G17" s="116"/>
      <c r="H17" s="117"/>
      <c r="I17" s="114"/>
      <c r="J17" s="114"/>
      <c r="K17" s="114"/>
      <c r="L17" s="114"/>
      <c r="M17" s="114"/>
    </row>
    <row r="18" spans="1:13" ht="12" customHeight="1">
      <c r="A18" s="55" t="s">
        <v>166</v>
      </c>
      <c r="B18" s="56" t="s">
        <v>165</v>
      </c>
      <c r="C18" s="59" t="s">
        <v>274</v>
      </c>
      <c r="D18" s="110"/>
      <c r="E18" s="98">
        <f>SUM(F18:M18)</f>
        <v>0</v>
      </c>
      <c r="F18" s="111"/>
      <c r="G18" s="112"/>
      <c r="H18" s="113"/>
      <c r="I18" s="110"/>
      <c r="J18" s="110"/>
      <c r="K18" s="110"/>
      <c r="L18" s="110"/>
      <c r="M18" s="110"/>
    </row>
    <row r="19" spans="1:13" ht="14.25" customHeight="1">
      <c r="A19" s="55" t="s">
        <v>167</v>
      </c>
      <c r="B19" s="56">
        <v>811</v>
      </c>
      <c r="C19" s="59" t="s">
        <v>273</v>
      </c>
      <c r="D19" s="110"/>
      <c r="E19" s="98">
        <f>SUM(F19:M19)</f>
        <v>0</v>
      </c>
      <c r="F19" s="111"/>
      <c r="G19" s="112"/>
      <c r="H19" s="113"/>
      <c r="I19" s="110"/>
      <c r="J19" s="110"/>
      <c r="K19" s="110"/>
      <c r="L19" s="110"/>
      <c r="M19" s="110"/>
    </row>
    <row r="20" spans="1:13" ht="12" customHeight="1">
      <c r="A20" s="55" t="s">
        <v>168</v>
      </c>
      <c r="B20" s="56"/>
      <c r="C20" s="59"/>
      <c r="D20" s="185"/>
      <c r="E20" s="185"/>
      <c r="F20" s="211"/>
      <c r="G20" s="212"/>
      <c r="H20" s="213"/>
      <c r="I20" s="185"/>
      <c r="J20" s="185"/>
      <c r="K20" s="185"/>
      <c r="L20" s="185"/>
      <c r="M20" s="185"/>
    </row>
    <row r="21" spans="1:13" s="126" customFormat="1" ht="12" customHeight="1">
      <c r="A21" s="55" t="s">
        <v>171</v>
      </c>
      <c r="B21" s="127">
        <v>800</v>
      </c>
      <c r="C21" s="188" t="s">
        <v>267</v>
      </c>
      <c r="D21" s="186">
        <f>SUM(D17:D19)</f>
        <v>0</v>
      </c>
      <c r="E21" s="186">
        <f aca="true" t="shared" si="1" ref="E21:M21">SUM(E17:E19)</f>
        <v>0</v>
      </c>
      <c r="F21" s="186">
        <f t="shared" si="1"/>
        <v>0</v>
      </c>
      <c r="G21" s="186">
        <f t="shared" si="1"/>
        <v>0</v>
      </c>
      <c r="H21" s="186">
        <f t="shared" si="1"/>
        <v>0</v>
      </c>
      <c r="I21" s="186">
        <f t="shared" si="1"/>
        <v>0</v>
      </c>
      <c r="J21" s="186">
        <f t="shared" si="1"/>
        <v>0</v>
      </c>
      <c r="K21" s="186">
        <f t="shared" si="1"/>
        <v>0</v>
      </c>
      <c r="L21" s="186">
        <f t="shared" si="1"/>
        <v>0</v>
      </c>
      <c r="M21" s="186">
        <f t="shared" si="1"/>
        <v>0</v>
      </c>
    </row>
    <row r="22" spans="1:13" ht="12" customHeight="1">
      <c r="A22" s="55" t="s">
        <v>173</v>
      </c>
      <c r="B22" s="56"/>
      <c r="C22" s="59"/>
      <c r="D22" s="114"/>
      <c r="E22" s="114"/>
      <c r="F22" s="115"/>
      <c r="G22" s="116"/>
      <c r="H22" s="117"/>
      <c r="I22" s="114"/>
      <c r="J22" s="114"/>
      <c r="K22" s="114"/>
      <c r="L22" s="114"/>
      <c r="M22" s="114"/>
    </row>
    <row r="23" spans="1:13" ht="12" customHeight="1">
      <c r="A23" s="55" t="s">
        <v>176</v>
      </c>
      <c r="B23" s="56" t="s">
        <v>169</v>
      </c>
      <c r="C23" s="59" t="s">
        <v>170</v>
      </c>
      <c r="D23" s="97"/>
      <c r="E23" s="98">
        <f>SUM(F23:M23)</f>
        <v>0</v>
      </c>
      <c r="F23" s="111"/>
      <c r="G23" s="112"/>
      <c r="H23" s="113"/>
      <c r="I23" s="110"/>
      <c r="J23" s="110"/>
      <c r="K23" s="110"/>
      <c r="L23" s="110"/>
      <c r="M23" s="110"/>
    </row>
    <row r="24" spans="1:13" ht="12" customHeight="1">
      <c r="A24" s="55" t="s">
        <v>179</v>
      </c>
      <c r="B24" s="56" t="s">
        <v>172</v>
      </c>
      <c r="C24" s="242" t="s">
        <v>318</v>
      </c>
      <c r="D24" s="97"/>
      <c r="E24" s="98">
        <f>SUM(F24:M24)</f>
        <v>0</v>
      </c>
      <c r="F24" s="111" t="s">
        <v>146</v>
      </c>
      <c r="G24" s="112"/>
      <c r="H24" s="113"/>
      <c r="I24" s="110"/>
      <c r="J24" s="110"/>
      <c r="K24" s="110"/>
      <c r="L24" s="110"/>
      <c r="M24" s="110"/>
    </row>
    <row r="25" spans="1:13" ht="12" customHeight="1">
      <c r="A25" s="55" t="s">
        <v>180</v>
      </c>
      <c r="B25" s="56" t="s">
        <v>174</v>
      </c>
      <c r="C25" s="59" t="s">
        <v>175</v>
      </c>
      <c r="D25" s="97"/>
      <c r="E25" s="98">
        <f>SUM(F25:M25)</f>
        <v>0</v>
      </c>
      <c r="F25" s="111"/>
      <c r="G25" s="112"/>
      <c r="H25" s="113"/>
      <c r="I25" s="110"/>
      <c r="J25" s="110"/>
      <c r="K25" s="110"/>
      <c r="L25" s="110"/>
      <c r="M25" s="110"/>
    </row>
    <row r="26" spans="1:13" ht="12" customHeight="1">
      <c r="A26" s="55" t="s">
        <v>183</v>
      </c>
      <c r="B26" s="56" t="s">
        <v>177</v>
      </c>
      <c r="C26" s="59" t="s">
        <v>178</v>
      </c>
      <c r="D26" s="97"/>
      <c r="E26" s="98">
        <f>SUM(F26:M26)</f>
        <v>0</v>
      </c>
      <c r="F26" s="111"/>
      <c r="G26" s="112"/>
      <c r="H26" s="113"/>
      <c r="I26" s="110"/>
      <c r="J26" s="110"/>
      <c r="K26" s="110"/>
      <c r="L26" s="110"/>
      <c r="M26" s="110"/>
    </row>
    <row r="27" spans="1:13" ht="12" customHeight="1">
      <c r="A27" s="55" t="s">
        <v>184</v>
      </c>
      <c r="B27" s="56"/>
      <c r="C27" s="59"/>
      <c r="D27" s="119"/>
      <c r="E27" s="119"/>
      <c r="F27" s="214"/>
      <c r="G27" s="215"/>
      <c r="H27" s="216"/>
      <c r="I27" s="217"/>
      <c r="J27" s="217"/>
      <c r="K27" s="217"/>
      <c r="L27" s="217"/>
      <c r="M27" s="217"/>
    </row>
    <row r="28" spans="1:55" ht="12" customHeight="1">
      <c r="A28" s="55" t="s">
        <v>185</v>
      </c>
      <c r="B28" s="56" t="s">
        <v>181</v>
      </c>
      <c r="C28" s="59" t="s">
        <v>182</v>
      </c>
      <c r="D28" s="187">
        <f>SUM(D23:D27)</f>
        <v>0</v>
      </c>
      <c r="E28" s="210">
        <f>SUM(E23:E27)</f>
        <v>0</v>
      </c>
      <c r="F28" s="186">
        <f>SUM(F23:F27)</f>
        <v>0</v>
      </c>
      <c r="G28" s="186">
        <f aca="true" t="shared" si="2" ref="G28:M28">SUM(G23:G27)</f>
        <v>0</v>
      </c>
      <c r="H28" s="186">
        <f t="shared" si="2"/>
        <v>0</v>
      </c>
      <c r="I28" s="186">
        <f t="shared" si="2"/>
        <v>0</v>
      </c>
      <c r="J28" s="186">
        <f t="shared" si="2"/>
        <v>0</v>
      </c>
      <c r="K28" s="186">
        <f t="shared" si="2"/>
        <v>0</v>
      </c>
      <c r="L28" s="186">
        <f t="shared" si="2"/>
        <v>0</v>
      </c>
      <c r="M28" s="186">
        <f t="shared" si="2"/>
        <v>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</row>
    <row r="29" spans="1:13" ht="12" customHeight="1">
      <c r="A29" s="55" t="s">
        <v>187</v>
      </c>
      <c r="B29" s="56"/>
      <c r="C29" s="5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2" customHeight="1">
      <c r="A30" s="55" t="s">
        <v>188</v>
      </c>
      <c r="B30" s="54"/>
      <c r="C30" s="49" t="s">
        <v>186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ht="12" customHeight="1">
      <c r="A31" s="55" t="s">
        <v>189</v>
      </c>
      <c r="B31" s="56"/>
      <c r="C31" s="201" t="s">
        <v>271</v>
      </c>
      <c r="D31" s="202">
        <f>SUM(D28,D21,D16,D10,local!D21)</f>
        <v>0</v>
      </c>
      <c r="E31" s="202">
        <f>SUM(E28,E21,E16,E10,local!E21)</f>
        <v>0</v>
      </c>
      <c r="F31" s="202">
        <f>SUM(F28,F21,F16,F10,local!F21)</f>
        <v>0</v>
      </c>
      <c r="G31" s="202">
        <f>SUM(G28,G21,G16,G10,local!G21)</f>
        <v>0</v>
      </c>
      <c r="H31" s="202">
        <f>SUM(H28,H21,H16,H10,local!H21)</f>
        <v>0</v>
      </c>
      <c r="I31" s="202">
        <f>SUM(I28,I21,I16,I10,local!I21)</f>
        <v>0</v>
      </c>
      <c r="J31" s="202">
        <f>SUM(J28,J21,J16,J10,local!J21)</f>
        <v>0</v>
      </c>
      <c r="K31" s="202">
        <f>SUM(K28,K21,K16,K10,local!K21)</f>
        <v>0</v>
      </c>
      <c r="L31" s="202">
        <f>SUM(L28,L21,L16,L10,local!L21)</f>
        <v>0</v>
      </c>
      <c r="M31" s="202">
        <f>SUM(M28,M21,M16,M10,local!M21)</f>
        <v>0</v>
      </c>
    </row>
    <row r="32" spans="1:13" ht="12" customHeight="1">
      <c r="A32" s="55" t="s">
        <v>190</v>
      </c>
      <c r="B32" s="56"/>
      <c r="C32" s="59"/>
      <c r="D32" s="65"/>
      <c r="E32" s="65"/>
      <c r="F32" s="66"/>
      <c r="G32" s="67"/>
      <c r="H32" s="68"/>
      <c r="I32" s="65"/>
      <c r="J32" s="65"/>
      <c r="K32" s="65"/>
      <c r="L32" s="65"/>
      <c r="M32" s="65"/>
    </row>
    <row r="33" spans="1:13" ht="8.25" customHeight="1">
      <c r="A33" s="55" t="s">
        <v>191</v>
      </c>
      <c r="B33" s="54"/>
      <c r="C33" s="49"/>
      <c r="D33" s="123"/>
      <c r="E33" s="123"/>
      <c r="M33" s="50"/>
    </row>
    <row r="34" spans="1:13" ht="12" customHeight="1">
      <c r="A34" s="55" t="s">
        <v>192</v>
      </c>
      <c r="B34" s="56"/>
      <c r="C34" s="69" t="s">
        <v>146</v>
      </c>
      <c r="D34" s="118"/>
      <c r="E34" s="118"/>
      <c r="M34" s="50"/>
    </row>
    <row r="35" spans="1:13" ht="12" customHeight="1">
      <c r="A35" s="55" t="s">
        <v>195</v>
      </c>
      <c r="B35" s="56"/>
      <c r="C35" s="64"/>
      <c r="D35" s="119"/>
      <c r="E35" s="119"/>
      <c r="M35" s="50"/>
    </row>
    <row r="36" spans="1:13" ht="12" customHeight="1">
      <c r="A36" s="55" t="s">
        <v>196</v>
      </c>
      <c r="B36" s="54"/>
      <c r="C36" s="49"/>
      <c r="D36" s="422"/>
      <c r="E36" s="422"/>
      <c r="M36" s="50"/>
    </row>
    <row r="37" spans="1:13" ht="12" customHeight="1">
      <c r="A37" s="55" t="s">
        <v>198</v>
      </c>
      <c r="B37" s="56"/>
      <c r="C37" s="69" t="s">
        <v>146</v>
      </c>
      <c r="D37" s="423"/>
      <c r="E37" s="423"/>
      <c r="M37" s="50"/>
    </row>
    <row r="38" spans="1:13" ht="12" customHeight="1">
      <c r="A38" s="55" t="s">
        <v>200</v>
      </c>
      <c r="B38" s="54"/>
      <c r="C38" s="49"/>
      <c r="D38" s="120"/>
      <c r="E38" s="120"/>
      <c r="M38" s="50"/>
    </row>
    <row r="39" spans="1:13" ht="12" customHeight="1" thickBot="1">
      <c r="A39" s="55" t="s">
        <v>201</v>
      </c>
      <c r="B39" s="54"/>
      <c r="C39" s="49"/>
      <c r="D39" s="120"/>
      <c r="E39" s="120"/>
      <c r="F39" s="70"/>
      <c r="G39" s="70"/>
      <c r="H39" s="70"/>
      <c r="I39" s="70"/>
      <c r="J39" s="70"/>
      <c r="M39" s="50"/>
    </row>
    <row r="40" spans="1:13" ht="12" customHeight="1">
      <c r="A40" s="58" t="s">
        <v>202</v>
      </c>
      <c r="B40" s="133"/>
      <c r="C40" s="134" t="s">
        <v>193</v>
      </c>
      <c r="D40" s="135"/>
      <c r="E40" s="136"/>
      <c r="G40" s="140"/>
      <c r="H40" s="140"/>
      <c r="I40" s="140"/>
      <c r="J40" s="70"/>
      <c r="L40" s="17"/>
      <c r="M40" s="50"/>
    </row>
    <row r="41" spans="1:13" ht="12" customHeight="1">
      <c r="A41" s="58" t="s">
        <v>204</v>
      </c>
      <c r="B41" s="137"/>
      <c r="C41" s="59"/>
      <c r="D41" s="120"/>
      <c r="E41" s="191"/>
      <c r="G41" s="140"/>
      <c r="H41" s="140"/>
      <c r="I41" s="140"/>
      <c r="J41" s="70"/>
      <c r="M41" s="50"/>
    </row>
    <row r="42" spans="1:13" ht="12" customHeight="1">
      <c r="A42" s="58" t="s">
        <v>206</v>
      </c>
      <c r="B42" s="137"/>
      <c r="C42" s="182" t="s">
        <v>197</v>
      </c>
      <c r="D42" s="193"/>
      <c r="E42" s="193"/>
      <c r="F42" s="140" t="s">
        <v>194</v>
      </c>
      <c r="G42" s="140"/>
      <c r="H42" s="140"/>
      <c r="I42" s="140"/>
      <c r="J42" s="70"/>
      <c r="M42" s="50"/>
    </row>
    <row r="43" spans="1:13" ht="12" customHeight="1">
      <c r="A43" s="58" t="s">
        <v>268</v>
      </c>
      <c r="B43" s="137"/>
      <c r="C43" s="182" t="s">
        <v>199</v>
      </c>
      <c r="D43" s="193"/>
      <c r="E43" s="193"/>
      <c r="F43" s="140"/>
      <c r="G43" s="70"/>
      <c r="H43" s="70"/>
      <c r="I43" s="70"/>
      <c r="J43" s="70"/>
      <c r="M43" s="50"/>
    </row>
    <row r="44" spans="1:13" ht="12" customHeight="1">
      <c r="A44" s="58" t="s">
        <v>269</v>
      </c>
      <c r="B44" s="137"/>
      <c r="C44" s="182" t="s">
        <v>285</v>
      </c>
      <c r="D44" s="193">
        <f>SUM(D42:D43)</f>
        <v>0</v>
      </c>
      <c r="E44" s="193">
        <f>SUM(E42:E43)</f>
        <v>0</v>
      </c>
      <c r="F44" s="140" t="s">
        <v>287</v>
      </c>
      <c r="G44" s="70"/>
      <c r="H44" s="70"/>
      <c r="I44" s="70"/>
      <c r="J44" s="70"/>
      <c r="M44" s="50"/>
    </row>
    <row r="45" spans="1:13" ht="12" customHeight="1">
      <c r="A45" s="58" t="s">
        <v>270</v>
      </c>
      <c r="B45" s="137"/>
      <c r="C45" s="59"/>
      <c r="D45" s="118"/>
      <c r="E45" s="192"/>
      <c r="F45" s="70"/>
      <c r="G45" s="70"/>
      <c r="H45" s="70"/>
      <c r="I45" s="70"/>
      <c r="J45" s="70"/>
      <c r="M45" s="50"/>
    </row>
    <row r="46" spans="1:13" ht="12" customHeight="1">
      <c r="A46" s="58" t="s">
        <v>283</v>
      </c>
      <c r="B46" s="137"/>
      <c r="C46" s="59" t="s">
        <v>203</v>
      </c>
      <c r="D46" s="189">
        <f>D31</f>
        <v>0</v>
      </c>
      <c r="E46" s="190">
        <f>E31</f>
        <v>0</v>
      </c>
      <c r="F46" s="70"/>
      <c r="G46" s="70"/>
      <c r="H46" s="70"/>
      <c r="I46" s="70"/>
      <c r="J46" s="70"/>
      <c r="M46" s="50"/>
    </row>
    <row r="47" spans="1:13" ht="12" customHeight="1">
      <c r="A47" s="58" t="s">
        <v>284</v>
      </c>
      <c r="B47" s="137"/>
      <c r="C47" s="59" t="s">
        <v>205</v>
      </c>
      <c r="D47" s="194"/>
      <c r="E47" s="195"/>
      <c r="M47" s="50"/>
    </row>
    <row r="48" spans="1:13" ht="12" customHeight="1" thickBot="1">
      <c r="A48" s="58" t="s">
        <v>288</v>
      </c>
      <c r="B48" s="138"/>
      <c r="C48" s="139" t="s">
        <v>286</v>
      </c>
      <c r="D48" s="196">
        <f>SUM(D46:D47)</f>
        <v>0</v>
      </c>
      <c r="E48" s="197">
        <f>SUM(E46:E47)</f>
        <v>0</v>
      </c>
      <c r="F48" s="3"/>
      <c r="G48" s="3"/>
      <c r="H48" s="3"/>
      <c r="I48" s="3"/>
      <c r="J48" s="3"/>
      <c r="K48" s="3"/>
      <c r="L48" s="3"/>
      <c r="M48" s="64"/>
    </row>
    <row r="49" ht="15">
      <c r="A49" s="21" t="str">
        <f ca="1">CELL("FILENAME",A8195)</f>
        <v>C:\Users\cchurch\Desktop\Documents\Budget\2017-2018 Budget\[Expenditures 2017-18.xls]localb</v>
      </c>
    </row>
  </sheetData>
  <sheetProtection/>
  <mergeCells count="2">
    <mergeCell ref="D36:D37"/>
    <mergeCell ref="E36:E37"/>
  </mergeCells>
  <printOptions horizontalCentered="1" verticalCentered="1"/>
  <pageMargins left="0.25" right="0.25" top="0" bottom="0" header="0.5" footer="0.5"/>
  <pageSetup fitToHeight="1" fitToWidth="1"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"/>
    </sheetView>
  </sheetViews>
  <sheetFormatPr defaultColWidth="9.77734375" defaultRowHeight="15"/>
  <cols>
    <col min="1" max="1" width="4.77734375" style="0" customWidth="1"/>
    <col min="2" max="2" width="7.77734375" style="0" customWidth="1"/>
    <col min="3" max="3" width="27.5546875" style="0" customWidth="1"/>
    <col min="4" max="6" width="11.77734375" style="0" customWidth="1"/>
    <col min="7" max="7" width="10.77734375" style="0" customWidth="1"/>
  </cols>
  <sheetData>
    <row r="1" spans="1:13" ht="15.75">
      <c r="A1" s="244" t="s">
        <v>0</v>
      </c>
      <c r="B1" s="16"/>
      <c r="C1" s="143"/>
      <c r="E1" s="1" t="s">
        <v>1</v>
      </c>
      <c r="F1" s="2"/>
      <c r="G1" s="2"/>
      <c r="M1" s="29" t="s">
        <v>300</v>
      </c>
    </row>
    <row r="2" spans="5:13" ht="15.75">
      <c r="E2" s="1" t="s">
        <v>2</v>
      </c>
      <c r="F2" s="2"/>
      <c r="G2" s="2"/>
      <c r="M2" s="18" t="s">
        <v>275</v>
      </c>
    </row>
    <row r="3" spans="5:13" ht="15">
      <c r="E3" s="2" t="str">
        <f>Form!E3</f>
        <v>July 1, 2017 - June 30, 2018</v>
      </c>
      <c r="F3" s="2"/>
      <c r="G3" s="2"/>
      <c r="M3" s="25" t="s">
        <v>276</v>
      </c>
    </row>
    <row r="4" spans="1:13" ht="12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" customHeight="1">
      <c r="A5" s="6"/>
      <c r="B5" s="7"/>
      <c r="C5" s="30" t="s">
        <v>2</v>
      </c>
      <c r="D5" s="30" t="s">
        <v>5</v>
      </c>
      <c r="E5" s="31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3" t="s">
        <v>12</v>
      </c>
      <c r="L5" s="30" t="s">
        <v>13</v>
      </c>
      <c r="M5" s="30" t="s">
        <v>14</v>
      </c>
    </row>
    <row r="6" spans="1:13" ht="12" customHeight="1">
      <c r="A6" s="8"/>
      <c r="B6" s="9"/>
      <c r="C6" s="9"/>
      <c r="D6" s="9"/>
      <c r="E6" s="9"/>
      <c r="F6" s="5"/>
      <c r="G6" s="10"/>
      <c r="H6" s="34" t="s">
        <v>15</v>
      </c>
      <c r="I6" s="34" t="s">
        <v>16</v>
      </c>
      <c r="J6" s="35" t="s">
        <v>17</v>
      </c>
      <c r="K6" s="36" t="s">
        <v>18</v>
      </c>
      <c r="L6" s="36" t="s">
        <v>19</v>
      </c>
      <c r="M6" s="9"/>
    </row>
    <row r="7" spans="1:13" ht="12" customHeight="1">
      <c r="A7" s="37" t="s">
        <v>20</v>
      </c>
      <c r="B7" s="38" t="s">
        <v>21</v>
      </c>
      <c r="C7" s="38" t="s">
        <v>22</v>
      </c>
      <c r="D7" s="38" t="s">
        <v>23</v>
      </c>
      <c r="E7" s="38" t="s">
        <v>23</v>
      </c>
      <c r="F7" s="39" t="s">
        <v>24</v>
      </c>
      <c r="G7" s="40" t="s">
        <v>25</v>
      </c>
      <c r="H7" s="40" t="s">
        <v>26</v>
      </c>
      <c r="I7" s="40" t="s">
        <v>27</v>
      </c>
      <c r="J7" s="37" t="s">
        <v>28</v>
      </c>
      <c r="K7" s="38" t="s">
        <v>29</v>
      </c>
      <c r="L7" s="38" t="s">
        <v>30</v>
      </c>
      <c r="M7" s="38" t="s">
        <v>31</v>
      </c>
    </row>
    <row r="8" spans="1:13" ht="12" customHeight="1">
      <c r="A8" s="37" t="s">
        <v>32</v>
      </c>
      <c r="B8" s="38" t="s">
        <v>33</v>
      </c>
      <c r="C8" s="11" t="s">
        <v>34</v>
      </c>
      <c r="D8" s="92"/>
      <c r="E8" s="93">
        <f aca="true" t="shared" si="0" ref="E8:E19">SUM(F8:M8)</f>
        <v>0</v>
      </c>
      <c r="F8" s="94"/>
      <c r="G8" s="95"/>
      <c r="H8" s="96"/>
      <c r="I8" s="92"/>
      <c r="J8" s="92"/>
      <c r="K8" s="92"/>
      <c r="L8" s="92"/>
      <c r="M8" s="92"/>
    </row>
    <row r="9" spans="1:13" ht="12" customHeight="1">
      <c r="A9" s="37" t="s">
        <v>35</v>
      </c>
      <c r="B9" s="38" t="s">
        <v>36</v>
      </c>
      <c r="C9" s="11" t="s">
        <v>37</v>
      </c>
      <c r="D9" s="97"/>
      <c r="E9" s="98">
        <f t="shared" si="0"/>
        <v>0</v>
      </c>
      <c r="F9" s="99"/>
      <c r="G9" s="100"/>
      <c r="H9" s="101"/>
      <c r="I9" s="97"/>
      <c r="J9" s="97"/>
      <c r="K9" s="97"/>
      <c r="L9" s="97"/>
      <c r="M9" s="97"/>
    </row>
    <row r="10" spans="1:13" ht="12" customHeight="1">
      <c r="A10" s="37" t="s">
        <v>38</v>
      </c>
      <c r="B10" s="38" t="s">
        <v>39</v>
      </c>
      <c r="C10" s="11" t="s">
        <v>40</v>
      </c>
      <c r="D10" s="97"/>
      <c r="E10" s="98">
        <f t="shared" si="0"/>
        <v>0</v>
      </c>
      <c r="F10" s="99"/>
      <c r="G10" s="100"/>
      <c r="H10" s="101"/>
      <c r="I10" s="97"/>
      <c r="J10" s="97"/>
      <c r="K10" s="97"/>
      <c r="L10" s="97"/>
      <c r="M10" s="97"/>
    </row>
    <row r="11" spans="1:13" ht="12" customHeight="1">
      <c r="A11" s="124" t="s">
        <v>41</v>
      </c>
      <c r="B11" s="38">
        <v>519</v>
      </c>
      <c r="C11" s="11" t="s">
        <v>259</v>
      </c>
      <c r="D11" s="97"/>
      <c r="E11" s="98">
        <f t="shared" si="0"/>
        <v>0</v>
      </c>
      <c r="F11" s="99"/>
      <c r="G11" s="100"/>
      <c r="H11" s="101"/>
      <c r="I11" s="97"/>
      <c r="J11" s="97"/>
      <c r="K11" s="97"/>
      <c r="L11" s="97"/>
      <c r="M11" s="97"/>
    </row>
    <row r="12" spans="1:13" ht="12" customHeight="1">
      <c r="A12" s="37" t="s">
        <v>43</v>
      </c>
      <c r="B12" s="38" t="s">
        <v>42</v>
      </c>
      <c r="C12" s="11" t="s">
        <v>293</v>
      </c>
      <c r="D12" s="97"/>
      <c r="E12" s="98">
        <f t="shared" si="0"/>
        <v>0</v>
      </c>
      <c r="F12" s="99"/>
      <c r="G12" s="100"/>
      <c r="H12" s="101"/>
      <c r="I12" s="97"/>
      <c r="J12" s="97"/>
      <c r="K12" s="97"/>
      <c r="L12" s="97"/>
      <c r="M12" s="97"/>
    </row>
    <row r="13" spans="1:13" ht="12" customHeight="1">
      <c r="A13" s="37" t="s">
        <v>45</v>
      </c>
      <c r="B13" s="38" t="s">
        <v>44</v>
      </c>
      <c r="C13" s="11" t="s">
        <v>294</v>
      </c>
      <c r="D13" s="97"/>
      <c r="E13" s="98">
        <f t="shared" si="0"/>
        <v>0</v>
      </c>
      <c r="F13" s="99"/>
      <c r="G13" s="100"/>
      <c r="H13" s="101"/>
      <c r="I13" s="97"/>
      <c r="J13" s="97"/>
      <c r="K13" s="97"/>
      <c r="L13" s="97"/>
      <c r="M13" s="97"/>
    </row>
    <row r="14" spans="1:13" ht="12" customHeight="1">
      <c r="A14" s="37" t="s">
        <v>48</v>
      </c>
      <c r="B14" s="38" t="s">
        <v>46</v>
      </c>
      <c r="C14" s="11" t="s">
        <v>47</v>
      </c>
      <c r="D14" s="97"/>
      <c r="E14" s="98">
        <f t="shared" si="0"/>
        <v>0</v>
      </c>
      <c r="F14" s="99"/>
      <c r="G14" s="100"/>
      <c r="H14" s="101"/>
      <c r="I14" s="97"/>
      <c r="J14" s="97"/>
      <c r="K14" s="97"/>
      <c r="L14" s="97"/>
      <c r="M14" s="97"/>
    </row>
    <row r="15" spans="1:13" ht="12" customHeight="1">
      <c r="A15" s="37" t="s">
        <v>51</v>
      </c>
      <c r="B15" s="38" t="s">
        <v>49</v>
      </c>
      <c r="C15" s="11" t="s">
        <v>50</v>
      </c>
      <c r="D15" s="97"/>
      <c r="E15" s="98">
        <f t="shared" si="0"/>
        <v>0</v>
      </c>
      <c r="F15" s="99"/>
      <c r="G15" s="100"/>
      <c r="H15" s="101"/>
      <c r="I15" s="97"/>
      <c r="J15" s="97"/>
      <c r="K15" s="97"/>
      <c r="L15" s="97"/>
      <c r="M15" s="97"/>
    </row>
    <row r="16" spans="1:13" ht="12" customHeight="1">
      <c r="A16" s="37" t="s">
        <v>54</v>
      </c>
      <c r="B16" s="38" t="s">
        <v>52</v>
      </c>
      <c r="C16" s="11" t="s">
        <v>53</v>
      </c>
      <c r="D16" s="97"/>
      <c r="E16" s="98">
        <f t="shared" si="0"/>
        <v>0</v>
      </c>
      <c r="F16" s="99"/>
      <c r="G16" s="100"/>
      <c r="H16" s="101"/>
      <c r="I16" s="97"/>
      <c r="J16" s="97"/>
      <c r="K16" s="97"/>
      <c r="L16" s="97"/>
      <c r="M16" s="97"/>
    </row>
    <row r="17" spans="1:13" ht="12" customHeight="1">
      <c r="A17" s="37" t="s">
        <v>55</v>
      </c>
      <c r="B17" s="38" t="s">
        <v>56</v>
      </c>
      <c r="C17" s="11" t="s">
        <v>57</v>
      </c>
      <c r="D17" s="97"/>
      <c r="E17" s="98">
        <f t="shared" si="0"/>
        <v>0</v>
      </c>
      <c r="F17" s="99"/>
      <c r="G17" s="100"/>
      <c r="H17" s="101"/>
      <c r="I17" s="97"/>
      <c r="J17" s="97"/>
      <c r="K17" s="97"/>
      <c r="L17" s="97"/>
      <c r="M17" s="97"/>
    </row>
    <row r="18" spans="1:13" ht="12" customHeight="1">
      <c r="A18" s="37" t="s">
        <v>58</v>
      </c>
      <c r="B18" s="38" t="s">
        <v>59</v>
      </c>
      <c r="C18" s="11" t="s">
        <v>60</v>
      </c>
      <c r="D18" s="97"/>
      <c r="E18" s="98">
        <f t="shared" si="0"/>
        <v>0</v>
      </c>
      <c r="F18" s="99"/>
      <c r="G18" s="100"/>
      <c r="H18" s="101"/>
      <c r="I18" s="97"/>
      <c r="J18" s="97"/>
      <c r="K18" s="97"/>
      <c r="L18" s="97"/>
      <c r="M18" s="97"/>
    </row>
    <row r="19" spans="1:13" ht="12" customHeight="1">
      <c r="A19" s="37" t="s">
        <v>61</v>
      </c>
      <c r="B19" s="38" t="s">
        <v>62</v>
      </c>
      <c r="C19" s="11" t="s">
        <v>63</v>
      </c>
      <c r="D19" s="97"/>
      <c r="E19" s="98">
        <f t="shared" si="0"/>
        <v>0</v>
      </c>
      <c r="F19" s="99"/>
      <c r="G19" s="100"/>
      <c r="H19" s="101"/>
      <c r="I19" s="97"/>
      <c r="J19" s="97"/>
      <c r="K19" s="97"/>
      <c r="L19" s="97"/>
      <c r="M19" s="97"/>
    </row>
    <row r="20" spans="1:13" ht="12" customHeight="1">
      <c r="A20" s="37" t="s">
        <v>64</v>
      </c>
      <c r="B20" s="11"/>
      <c r="C20" s="11"/>
      <c r="D20" s="199"/>
      <c r="E20" s="199"/>
      <c r="F20" s="218"/>
      <c r="G20" s="219"/>
      <c r="H20" s="220"/>
      <c r="I20" s="199"/>
      <c r="J20" s="199"/>
      <c r="K20" s="199"/>
      <c r="L20" s="199"/>
      <c r="M20" s="199"/>
    </row>
    <row r="21" spans="1:13" ht="12" customHeight="1">
      <c r="A21" s="37" t="s">
        <v>65</v>
      </c>
      <c r="B21" s="38" t="s">
        <v>11</v>
      </c>
      <c r="C21" s="198" t="s">
        <v>66</v>
      </c>
      <c r="D21" s="200">
        <f aca="true" t="shared" si="1" ref="D21:M21">SUM(D8:D19)</f>
        <v>0</v>
      </c>
      <c r="E21" s="200">
        <f t="shared" si="1"/>
        <v>0</v>
      </c>
      <c r="F21" s="200">
        <f t="shared" si="1"/>
        <v>0</v>
      </c>
      <c r="G21" s="200">
        <f t="shared" si="1"/>
        <v>0</v>
      </c>
      <c r="H21" s="200">
        <f t="shared" si="1"/>
        <v>0</v>
      </c>
      <c r="I21" s="200">
        <f t="shared" si="1"/>
        <v>0</v>
      </c>
      <c r="J21" s="200">
        <f t="shared" si="1"/>
        <v>0</v>
      </c>
      <c r="K21" s="200">
        <f t="shared" si="1"/>
        <v>0</v>
      </c>
      <c r="L21" s="200">
        <f t="shared" si="1"/>
        <v>0</v>
      </c>
      <c r="M21" s="200">
        <f t="shared" si="1"/>
        <v>0</v>
      </c>
    </row>
    <row r="22" spans="1:13" ht="12" customHeight="1">
      <c r="A22" s="37" t="s">
        <v>67</v>
      </c>
      <c r="B22" s="11"/>
      <c r="C22" s="11"/>
      <c r="D22" s="12"/>
      <c r="E22" s="12"/>
      <c r="F22" s="13"/>
      <c r="G22" s="14"/>
      <c r="H22" s="15"/>
      <c r="I22" s="12"/>
      <c r="J22" s="12"/>
      <c r="K22" s="12"/>
      <c r="L22" s="12"/>
      <c r="M22" s="12"/>
    </row>
    <row r="23" spans="1:13" ht="12" customHeight="1">
      <c r="A23" s="37" t="s">
        <v>68</v>
      </c>
      <c r="B23" s="38" t="s">
        <v>69</v>
      </c>
      <c r="C23" s="11" t="s">
        <v>70</v>
      </c>
      <c r="D23" s="97"/>
      <c r="E23" s="98">
        <f>SUM(F23:M23)</f>
        <v>0</v>
      </c>
      <c r="F23" s="99"/>
      <c r="G23" s="100"/>
      <c r="H23" s="101"/>
      <c r="I23" s="97"/>
      <c r="J23" s="97"/>
      <c r="K23" s="97"/>
      <c r="L23" s="97"/>
      <c r="M23" s="97"/>
    </row>
    <row r="24" spans="1:13" ht="12" customHeight="1">
      <c r="A24" s="37" t="s">
        <v>71</v>
      </c>
      <c r="B24" s="38" t="s">
        <v>72</v>
      </c>
      <c r="C24" s="11" t="s">
        <v>295</v>
      </c>
      <c r="D24" s="97"/>
      <c r="E24" s="98">
        <f>SUM(F24:M24)</f>
        <v>0</v>
      </c>
      <c r="F24" s="99"/>
      <c r="G24" s="100"/>
      <c r="H24" s="101"/>
      <c r="I24" s="97"/>
      <c r="J24" s="97"/>
      <c r="K24" s="97"/>
      <c r="L24" s="97"/>
      <c r="M24" s="97"/>
    </row>
    <row r="25" spans="1:13" ht="12" customHeight="1">
      <c r="A25" s="37" t="s">
        <v>73</v>
      </c>
      <c r="B25" s="38"/>
      <c r="C25" s="11"/>
      <c r="D25" s="102"/>
      <c r="E25" s="102"/>
      <c r="F25" s="103"/>
      <c r="G25" s="104"/>
      <c r="H25" s="105"/>
      <c r="I25" s="102"/>
      <c r="J25" s="102"/>
      <c r="K25" s="102"/>
      <c r="L25" s="102"/>
      <c r="M25" s="102"/>
    </row>
    <row r="26" spans="1:13" ht="12" customHeight="1">
      <c r="A26" s="37" t="s">
        <v>74</v>
      </c>
      <c r="B26" s="38" t="s">
        <v>75</v>
      </c>
      <c r="C26" s="11" t="s">
        <v>76</v>
      </c>
      <c r="D26" s="97"/>
      <c r="E26" s="98">
        <f>SUM(F26:M26)</f>
        <v>0</v>
      </c>
      <c r="F26" s="99"/>
      <c r="G26" s="100"/>
      <c r="H26" s="101"/>
      <c r="I26" s="97"/>
      <c r="J26" s="97"/>
      <c r="K26" s="97"/>
      <c r="L26" s="97"/>
      <c r="M26" s="97"/>
    </row>
    <row r="27" spans="1:13" ht="12" customHeight="1">
      <c r="A27" s="37" t="s">
        <v>77</v>
      </c>
      <c r="B27" s="38" t="s">
        <v>78</v>
      </c>
      <c r="C27" s="11" t="s">
        <v>79</v>
      </c>
      <c r="D27" s="97"/>
      <c r="E27" s="98">
        <f>SUM(F27:M27)</f>
        <v>0</v>
      </c>
      <c r="F27" s="99"/>
      <c r="G27" s="100"/>
      <c r="H27" s="101"/>
      <c r="I27" s="97"/>
      <c r="J27" s="97"/>
      <c r="K27" s="97"/>
      <c r="L27" s="97"/>
      <c r="M27" s="97"/>
    </row>
    <row r="28" spans="1:13" ht="12" customHeight="1">
      <c r="A28" s="37" t="s">
        <v>80</v>
      </c>
      <c r="B28" s="38">
        <v>623</v>
      </c>
      <c r="C28" s="11" t="s">
        <v>264</v>
      </c>
      <c r="D28" s="97"/>
      <c r="E28" s="98">
        <f>SUM(F28:M28)</f>
        <v>0</v>
      </c>
      <c r="F28" s="99"/>
      <c r="G28" s="100"/>
      <c r="H28" s="101"/>
      <c r="I28" s="97"/>
      <c r="J28" s="97"/>
      <c r="K28" s="97"/>
      <c r="L28" s="97"/>
      <c r="M28" s="97"/>
    </row>
    <row r="29" spans="1:13" ht="12" customHeight="1">
      <c r="A29" s="37" t="s">
        <v>81</v>
      </c>
      <c r="B29" s="38" t="s">
        <v>82</v>
      </c>
      <c r="C29" s="11" t="s">
        <v>83</v>
      </c>
      <c r="D29" s="97"/>
      <c r="E29" s="98">
        <f>SUM(F29:M29)</f>
        <v>0</v>
      </c>
      <c r="F29" s="99"/>
      <c r="G29" s="100"/>
      <c r="H29" s="101"/>
      <c r="I29" s="97"/>
      <c r="J29" s="97"/>
      <c r="K29" s="97"/>
      <c r="L29" s="97"/>
      <c r="M29" s="97"/>
    </row>
    <row r="30" spans="1:13" ht="12" customHeight="1">
      <c r="A30" s="37" t="s">
        <v>84</v>
      </c>
      <c r="B30" s="38" t="s">
        <v>85</v>
      </c>
      <c r="C30" s="11" t="s">
        <v>86</v>
      </c>
      <c r="D30" s="97"/>
      <c r="E30" s="98">
        <f>SUM(F30:M30)</f>
        <v>0</v>
      </c>
      <c r="F30" s="99"/>
      <c r="G30" s="100"/>
      <c r="H30" s="101"/>
      <c r="I30" s="97"/>
      <c r="J30" s="97"/>
      <c r="K30" s="97"/>
      <c r="L30" s="97"/>
      <c r="M30" s="97"/>
    </row>
    <row r="31" spans="1:13" ht="12" customHeight="1">
      <c r="A31" s="37" t="s">
        <v>87</v>
      </c>
      <c r="B31" s="38"/>
      <c r="C31" s="11"/>
      <c r="D31" s="102"/>
      <c r="E31" s="102"/>
      <c r="F31" s="103"/>
      <c r="G31" s="104"/>
      <c r="H31" s="105"/>
      <c r="I31" s="102"/>
      <c r="J31" s="102"/>
      <c r="K31" s="102"/>
      <c r="L31" s="102"/>
      <c r="M31" s="102"/>
    </row>
    <row r="32" spans="1:13" ht="12" customHeight="1">
      <c r="A32" s="37" t="s">
        <v>88</v>
      </c>
      <c r="B32" s="38" t="s">
        <v>89</v>
      </c>
      <c r="C32" s="11" t="s">
        <v>90</v>
      </c>
      <c r="D32" s="97"/>
      <c r="E32" s="98">
        <f>SUM(F32:M32)</f>
        <v>0</v>
      </c>
      <c r="F32" s="99"/>
      <c r="G32" s="100"/>
      <c r="H32" s="101"/>
      <c r="I32" s="97"/>
      <c r="J32" s="97"/>
      <c r="K32" s="97"/>
      <c r="L32" s="97"/>
      <c r="M32" s="97"/>
    </row>
    <row r="33" spans="1:13" ht="8.25" customHeight="1">
      <c r="A33" s="37" t="s">
        <v>91</v>
      </c>
      <c r="B33" s="38"/>
      <c r="C33" s="11"/>
      <c r="D33" s="102"/>
      <c r="E33" s="102"/>
      <c r="F33" s="103"/>
      <c r="G33" s="104"/>
      <c r="H33" s="105"/>
      <c r="I33" s="102"/>
      <c r="J33" s="102"/>
      <c r="K33" s="102"/>
      <c r="L33" s="102"/>
      <c r="M33" s="102"/>
    </row>
    <row r="34" spans="1:13" ht="12" customHeight="1">
      <c r="A34" s="37" t="s">
        <v>92</v>
      </c>
      <c r="B34" s="38" t="s">
        <v>93</v>
      </c>
      <c r="C34" s="11" t="s">
        <v>94</v>
      </c>
      <c r="D34" s="97"/>
      <c r="E34" s="98">
        <f aca="true" t="shared" si="2" ref="E34:E41">SUM(F34:M34)</f>
        <v>0</v>
      </c>
      <c r="F34" s="99"/>
      <c r="G34" s="100"/>
      <c r="H34" s="101"/>
      <c r="I34" s="97"/>
      <c r="J34" s="97"/>
      <c r="K34" s="97"/>
      <c r="L34" s="97"/>
      <c r="M34" s="97"/>
    </row>
    <row r="35" spans="1:13" ht="12" customHeight="1">
      <c r="A35" s="37" t="s">
        <v>95</v>
      </c>
      <c r="B35" s="38" t="s">
        <v>96</v>
      </c>
      <c r="C35" s="11" t="s">
        <v>97</v>
      </c>
      <c r="D35" s="97"/>
      <c r="E35" s="98">
        <f t="shared" si="2"/>
        <v>0</v>
      </c>
      <c r="F35" s="99"/>
      <c r="G35" s="100"/>
      <c r="H35" s="101"/>
      <c r="I35" s="97"/>
      <c r="J35" s="97"/>
      <c r="K35" s="97"/>
      <c r="L35" s="97"/>
      <c r="M35" s="97"/>
    </row>
    <row r="36" spans="1:13" ht="12" customHeight="1">
      <c r="A36" s="37" t="s">
        <v>98</v>
      </c>
      <c r="B36" s="38">
        <v>656</v>
      </c>
      <c r="C36" s="11" t="s">
        <v>265</v>
      </c>
      <c r="D36" s="97"/>
      <c r="E36" s="98">
        <f t="shared" si="2"/>
        <v>0</v>
      </c>
      <c r="F36" s="99"/>
      <c r="G36" s="100"/>
      <c r="H36" s="101"/>
      <c r="I36" s="97"/>
      <c r="J36" s="97"/>
      <c r="K36" s="97"/>
      <c r="L36" s="97"/>
      <c r="M36" s="97"/>
    </row>
    <row r="37" spans="1:13" ht="12" customHeight="1">
      <c r="A37" s="37" t="s">
        <v>99</v>
      </c>
      <c r="B37" s="38" t="s">
        <v>100</v>
      </c>
      <c r="C37" s="11" t="s">
        <v>101</v>
      </c>
      <c r="D37" s="97"/>
      <c r="E37" s="98">
        <f t="shared" si="2"/>
        <v>0</v>
      </c>
      <c r="F37" s="99"/>
      <c r="G37" s="100"/>
      <c r="H37" s="101"/>
      <c r="I37" s="97"/>
      <c r="J37" s="97"/>
      <c r="K37" s="97"/>
      <c r="L37" s="97"/>
      <c r="M37" s="97"/>
    </row>
    <row r="38" spans="1:13" ht="12" customHeight="1">
      <c r="A38" s="37" t="s">
        <v>102</v>
      </c>
      <c r="B38" s="38">
        <v>663</v>
      </c>
      <c r="C38" s="11" t="s">
        <v>281</v>
      </c>
      <c r="D38" s="97"/>
      <c r="E38" s="98">
        <f t="shared" si="2"/>
        <v>0</v>
      </c>
      <c r="F38" s="99"/>
      <c r="G38" s="100"/>
      <c r="H38" s="101"/>
      <c r="I38" s="97"/>
      <c r="J38" s="97"/>
      <c r="K38" s="97"/>
      <c r="L38" s="97"/>
      <c r="M38" s="97"/>
    </row>
    <row r="39" spans="1:13" ht="12" customHeight="1">
      <c r="A39" s="37" t="s">
        <v>104</v>
      </c>
      <c r="B39" s="38" t="s">
        <v>103</v>
      </c>
      <c r="C39" s="11" t="s">
        <v>266</v>
      </c>
      <c r="D39" s="97"/>
      <c r="E39" s="98">
        <f t="shared" si="2"/>
        <v>0</v>
      </c>
      <c r="F39" s="99"/>
      <c r="G39" s="100"/>
      <c r="H39" s="101"/>
      <c r="I39" s="97"/>
      <c r="J39" s="97"/>
      <c r="K39" s="97"/>
      <c r="L39" s="97"/>
      <c r="M39" s="97"/>
    </row>
    <row r="40" spans="1:13" ht="12" customHeight="1">
      <c r="A40" s="37" t="s">
        <v>107</v>
      </c>
      <c r="B40" s="38" t="s">
        <v>105</v>
      </c>
      <c r="C40" s="11" t="s">
        <v>106</v>
      </c>
      <c r="D40" s="97"/>
      <c r="E40" s="98">
        <f t="shared" si="2"/>
        <v>0</v>
      </c>
      <c r="F40" s="99"/>
      <c r="G40" s="100"/>
      <c r="H40" s="101"/>
      <c r="I40" s="97"/>
      <c r="J40" s="97"/>
      <c r="K40" s="97"/>
      <c r="L40" s="97"/>
      <c r="M40" s="97"/>
    </row>
    <row r="41" spans="1:13" ht="12" customHeight="1">
      <c r="A41" s="37" t="s">
        <v>110</v>
      </c>
      <c r="B41" s="38" t="s">
        <v>108</v>
      </c>
      <c r="C41" s="11" t="s">
        <v>109</v>
      </c>
      <c r="D41" s="97"/>
      <c r="E41" s="98">
        <f t="shared" si="2"/>
        <v>0</v>
      </c>
      <c r="F41" s="99"/>
      <c r="G41" s="100"/>
      <c r="H41" s="101"/>
      <c r="I41" s="97"/>
      <c r="J41" s="97"/>
      <c r="K41" s="97"/>
      <c r="L41" s="97"/>
      <c r="M41" s="97"/>
    </row>
    <row r="42" spans="1:13" ht="12" customHeight="1">
      <c r="A42" s="37" t="s">
        <v>111</v>
      </c>
      <c r="B42" s="38"/>
      <c r="C42" s="11"/>
      <c r="D42" s="102"/>
      <c r="E42" s="102"/>
      <c r="F42" s="103"/>
      <c r="G42" s="104"/>
      <c r="H42" s="105"/>
      <c r="I42" s="102"/>
      <c r="J42" s="102"/>
      <c r="K42" s="102"/>
      <c r="L42" s="102"/>
      <c r="M42" s="102"/>
    </row>
    <row r="43" spans="1:13" ht="12" customHeight="1">
      <c r="A43" s="37" t="s">
        <v>114</v>
      </c>
      <c r="B43" s="38" t="s">
        <v>112</v>
      </c>
      <c r="C43" s="11" t="s">
        <v>113</v>
      </c>
      <c r="D43" s="97"/>
      <c r="E43" s="98">
        <f>SUM(F43:M43)</f>
        <v>0</v>
      </c>
      <c r="F43" s="99"/>
      <c r="G43" s="100"/>
      <c r="H43" s="101"/>
      <c r="I43" s="97"/>
      <c r="J43" s="97"/>
      <c r="K43" s="97"/>
      <c r="L43" s="97"/>
      <c r="M43" s="97"/>
    </row>
    <row r="44" spans="1:13" ht="12" customHeight="1">
      <c r="A44" s="37" t="s">
        <v>117</v>
      </c>
      <c r="B44" s="38" t="s">
        <v>115</v>
      </c>
      <c r="C44" s="11" t="s">
        <v>116</v>
      </c>
      <c r="D44" s="97"/>
      <c r="E44" s="98">
        <f>SUM(F44:M44)</f>
        <v>0</v>
      </c>
      <c r="F44" s="99"/>
      <c r="G44" s="100"/>
      <c r="H44" s="101"/>
      <c r="I44" s="97"/>
      <c r="J44" s="97"/>
      <c r="K44" s="97"/>
      <c r="L44" s="97"/>
      <c r="M44" s="97"/>
    </row>
    <row r="45" spans="1:13" ht="12" customHeight="1">
      <c r="A45" s="37" t="s">
        <v>120</v>
      </c>
      <c r="B45" s="38" t="s">
        <v>118</v>
      </c>
      <c r="C45" s="11" t="s">
        <v>119</v>
      </c>
      <c r="D45" s="97"/>
      <c r="E45" s="98">
        <f>SUM(F45:M45)</f>
        <v>0</v>
      </c>
      <c r="F45" s="99"/>
      <c r="G45" s="100"/>
      <c r="H45" s="101"/>
      <c r="I45" s="97"/>
      <c r="J45" s="97"/>
      <c r="K45" s="97"/>
      <c r="L45" s="97"/>
      <c r="M45" s="97"/>
    </row>
    <row r="46" spans="1:13" ht="12" customHeight="1">
      <c r="A46" s="131"/>
      <c r="B46" s="132"/>
      <c r="C46" s="11"/>
      <c r="D46" s="102"/>
      <c r="E46" s="102"/>
      <c r="F46" s="103"/>
      <c r="G46" s="104"/>
      <c r="H46" s="105"/>
      <c r="I46" s="102"/>
      <c r="J46" s="102"/>
      <c r="K46" s="102"/>
      <c r="L46" s="102"/>
      <c r="M46" s="102"/>
    </row>
    <row r="47" spans="1:13" ht="12" customHeight="1">
      <c r="A47" s="21" t="str">
        <f ca="1">CELL("filename",A47)</f>
        <v>C:\Users\cchurch\Desktop\Documents\Budget\2017-2018 Budget\[Expenditures 2017-18.xls]240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3:13" ht="15">
      <c r="C48" s="222" t="s">
        <v>291</v>
      </c>
      <c r="D48" s="193">
        <f aca="true" t="shared" si="3" ref="D48:M48">SUM(D23:D46)</f>
        <v>0</v>
      </c>
      <c r="E48" s="193">
        <f t="shared" si="3"/>
        <v>0</v>
      </c>
      <c r="F48" s="193">
        <f t="shared" si="3"/>
        <v>0</v>
      </c>
      <c r="G48" s="193">
        <f t="shared" si="3"/>
        <v>0</v>
      </c>
      <c r="H48" s="193">
        <f t="shared" si="3"/>
        <v>0</v>
      </c>
      <c r="I48" s="193">
        <f t="shared" si="3"/>
        <v>0</v>
      </c>
      <c r="J48" s="193">
        <f t="shared" si="3"/>
        <v>0</v>
      </c>
      <c r="K48" s="193">
        <f t="shared" si="3"/>
        <v>0</v>
      </c>
      <c r="L48" s="193">
        <f t="shared" si="3"/>
        <v>0</v>
      </c>
      <c r="M48" s="193">
        <f t="shared" si="3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Ascholer</dc:creator>
  <cp:keywords/>
  <dc:description/>
  <cp:lastModifiedBy>Carl Church</cp:lastModifiedBy>
  <cp:lastPrinted>2017-02-13T16:55:50Z</cp:lastPrinted>
  <dcterms:created xsi:type="dcterms:W3CDTF">1999-02-25T20:13:54Z</dcterms:created>
  <dcterms:modified xsi:type="dcterms:W3CDTF">2017-07-14T21:34:51Z</dcterms:modified>
  <cp:category/>
  <cp:version/>
  <cp:contentType/>
  <cp:contentStatus/>
</cp:coreProperties>
</file>